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lean101au.sharepoint.com/sites/Lean101-AppDevelopment/Shared Documents/General/4. PowerBI/2. Hunter Premium/2. Operations Dashboard/Sources/"/>
    </mc:Choice>
  </mc:AlternateContent>
  <xr:revisionPtr revIDLastSave="10525" documentId="8_{5A565DE8-0FFE-44EA-A0CA-BC98ECF08DF9}" xr6:coauthVersionLast="47" xr6:coauthVersionMax="47" xr10:uidLastSave="{03809F2F-5BF3-4EB6-B6DE-EB16E3A6DF4D}"/>
  <bookViews>
    <workbookView xWindow="-108" yWindow="-108" windowWidth="30936" windowHeight="19416" tabRatio="879" activeTab="4" xr2:uid="{779CAB4D-5AF3-451E-B469-5BC55C372A06}"/>
  </bookViews>
  <sheets>
    <sheet name="OC - Products &amp; Services" sheetId="1" r:id="rId1"/>
    <sheet name="Product Cost - Price" sheetId="24" r:id="rId2"/>
    <sheet name="Peckish Costing" sheetId="25" r:id="rId3"/>
    <sheet name="C- Raw Products Costs" sheetId="2" r:id="rId4"/>
    <sheet name="M - All" sheetId="21" r:id="rId5"/>
    <sheet name="Sales R12M Sep25" sheetId="28" r:id="rId6"/>
    <sheet name="Stock Take" sheetId="26" r:id="rId7"/>
    <sheet name="Price Review 30082025" sheetId="27" r:id="rId8"/>
  </sheets>
  <definedNames>
    <definedName name="_xlnm._FilterDatabase" localSheetId="3" hidden="1">'C- Raw Products Costs'!$A$2:$H$72</definedName>
    <definedName name="_xlnm._FilterDatabase" localSheetId="4" hidden="1">'M - All'!$A$99:$BI$183</definedName>
    <definedName name="_xlnm._FilterDatabase" localSheetId="0" hidden="1">'OC - Products &amp; Services'!$A$1:$S$237</definedName>
    <definedName name="_xlnm._FilterDatabase" localSheetId="7" hidden="1">'Price Review 30082025'!$A$2:$AA$215</definedName>
    <definedName name="_xlnm._FilterDatabase" localSheetId="1" hidden="1">'Product Cost - Price'!$A$207:$C$219</definedName>
    <definedName name="_xlnm._FilterDatabase" localSheetId="5" hidden="1">'Sales R12M Sep25'!$A$7:$V$135</definedName>
    <definedName name="_xlnm._FilterDatabase" localSheetId="6" hidden="1">'Stock Take'!$A$2:$Q$271</definedName>
    <definedName name="_xlnm.Print_Area" localSheetId="6">'Stock Take'!$A$2:$E$271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5" l="1"/>
  <c r="D6" i="25"/>
  <c r="D5" i="25"/>
  <c r="D4" i="25"/>
  <c r="D3" i="25"/>
  <c r="F6" i="26"/>
  <c r="F10" i="26"/>
  <c r="F29" i="26"/>
  <c r="F44" i="26"/>
  <c r="F96" i="26"/>
  <c r="F247" i="26"/>
  <c r="F254" i="26"/>
  <c r="F257" i="26"/>
  <c r="F269" i="26"/>
  <c r="F280" i="26"/>
  <c r="F281" i="26"/>
  <c r="F282" i="26"/>
  <c r="F283" i="26"/>
  <c r="F284" i="26"/>
  <c r="F285" i="26"/>
  <c r="F286" i="26"/>
  <c r="F287" i="26"/>
  <c r="F288" i="26"/>
  <c r="F289" i="26"/>
  <c r="F290" i="26"/>
  <c r="F291" i="26"/>
  <c r="F292" i="26"/>
  <c r="F293" i="26"/>
  <c r="F294" i="26"/>
  <c r="F295" i="26"/>
  <c r="F296" i="26"/>
  <c r="F297" i="26"/>
  <c r="F298" i="26"/>
  <c r="F300" i="26"/>
  <c r="F302" i="26"/>
  <c r="F303" i="26"/>
  <c r="F304" i="26"/>
  <c r="F305" i="26"/>
  <c r="F306" i="26"/>
  <c r="F307" i="26"/>
  <c r="F100" i="26"/>
  <c r="F39" i="26"/>
  <c r="F301" i="26"/>
  <c r="F299" i="26"/>
  <c r="F104" i="26"/>
  <c r="F31" i="26"/>
  <c r="F30" i="26"/>
  <c r="F103" i="26"/>
  <c r="F270" i="26"/>
  <c r="F102" i="26"/>
  <c r="F258" i="26"/>
  <c r="C4" i="28"/>
  <c r="F38" i="2"/>
  <c r="BJ99" i="21"/>
  <c r="C302" i="21"/>
  <c r="C7" i="25"/>
  <c r="C6" i="25"/>
  <c r="C5" i="25"/>
  <c r="C4" i="25"/>
  <c r="C3" i="25"/>
  <c r="E124" i="28"/>
  <c r="F124" i="28" s="1"/>
  <c r="E125" i="28"/>
  <c r="F125" i="28" s="1"/>
  <c r="E126" i="28"/>
  <c r="G126" i="28" s="1"/>
  <c r="E127" i="28"/>
  <c r="H127" i="28" s="1"/>
  <c r="E128" i="28"/>
  <c r="J128" i="28" s="1"/>
  <c r="E129" i="28"/>
  <c r="J129" i="28" s="1"/>
  <c r="E130" i="28"/>
  <c r="L130" i="28" s="1"/>
  <c r="E131" i="28"/>
  <c r="L131" i="28" s="1"/>
  <c r="E132" i="28"/>
  <c r="N132" i="28" s="1"/>
  <c r="E133" i="28"/>
  <c r="N133" i="28" s="1"/>
  <c r="E134" i="28"/>
  <c r="P134" i="28" s="1"/>
  <c r="Q134" i="28" s="1"/>
  <c r="E135" i="28"/>
  <c r="P135" i="28" s="1"/>
  <c r="Q135" i="28" s="1"/>
  <c r="E93" i="28"/>
  <c r="E122" i="28"/>
  <c r="E38" i="28"/>
  <c r="E111" i="28"/>
  <c r="E116" i="28"/>
  <c r="E57" i="28"/>
  <c r="E61" i="28"/>
  <c r="E36" i="28"/>
  <c r="E37" i="28"/>
  <c r="E82" i="28"/>
  <c r="E47" i="28"/>
  <c r="E76" i="28"/>
  <c r="E66" i="28"/>
  <c r="E34" i="28"/>
  <c r="E103" i="28"/>
  <c r="E83" i="28"/>
  <c r="E59" i="28"/>
  <c r="E84" i="28"/>
  <c r="E74" i="28"/>
  <c r="E24" i="28"/>
  <c r="E62" i="28"/>
  <c r="E67" i="28"/>
  <c r="E49" i="28"/>
  <c r="E23" i="28"/>
  <c r="E20" i="28"/>
  <c r="E53" i="28"/>
  <c r="E19" i="28"/>
  <c r="E30" i="28"/>
  <c r="E42" i="28"/>
  <c r="E97" i="28"/>
  <c r="E52" i="28"/>
  <c r="E109" i="28"/>
  <c r="E21" i="28"/>
  <c r="E9" i="28"/>
  <c r="E100" i="28"/>
  <c r="E28" i="28"/>
  <c r="E11" i="28"/>
  <c r="E63" i="28"/>
  <c r="E87" i="28"/>
  <c r="E110" i="28"/>
  <c r="E60" i="28"/>
  <c r="E114" i="28"/>
  <c r="E79" i="28"/>
  <c r="E101" i="28"/>
  <c r="E86" i="28"/>
  <c r="E16" i="28"/>
  <c r="E85" i="28"/>
  <c r="E106" i="28"/>
  <c r="E92" i="28"/>
  <c r="E17" i="28"/>
  <c r="E90" i="28"/>
  <c r="E15" i="28"/>
  <c r="E41" i="28"/>
  <c r="E58" i="28"/>
  <c r="E18" i="28"/>
  <c r="E27" i="28"/>
  <c r="E51" i="28"/>
  <c r="E121" i="28"/>
  <c r="E31" i="28"/>
  <c r="E44" i="28"/>
  <c r="E33" i="28"/>
  <c r="E118" i="28"/>
  <c r="E96" i="28"/>
  <c r="E80" i="28"/>
  <c r="E120" i="28"/>
  <c r="E22" i="28"/>
  <c r="E25" i="28"/>
  <c r="E39" i="28"/>
  <c r="E54" i="28"/>
  <c r="E10" i="28"/>
  <c r="E88" i="28"/>
  <c r="E46" i="28"/>
  <c r="E91" i="28"/>
  <c r="E73" i="28"/>
  <c r="E112" i="28"/>
  <c r="E55" i="28"/>
  <c r="E123" i="28"/>
  <c r="E29" i="28"/>
  <c r="E71" i="28"/>
  <c r="E94" i="28"/>
  <c r="E40" i="28"/>
  <c r="E72" i="28"/>
  <c r="E78" i="28"/>
  <c r="E81" i="28"/>
  <c r="E117" i="28"/>
  <c r="E48" i="28"/>
  <c r="E115" i="28"/>
  <c r="E13" i="28"/>
  <c r="E26" i="28"/>
  <c r="E70" i="28"/>
  <c r="E108" i="28"/>
  <c r="E95" i="28"/>
  <c r="E119" i="28"/>
  <c r="E50" i="28"/>
  <c r="E104" i="28"/>
  <c r="E56" i="28"/>
  <c r="E98" i="28"/>
  <c r="E69" i="28"/>
  <c r="E14" i="28"/>
  <c r="E8" i="28"/>
  <c r="E32" i="28"/>
  <c r="E107" i="28"/>
  <c r="E43" i="28"/>
  <c r="E75" i="28"/>
  <c r="E77" i="28"/>
  <c r="E89" i="28"/>
  <c r="E64" i="28"/>
  <c r="E102" i="28"/>
  <c r="E45" i="28"/>
  <c r="E105" i="28"/>
  <c r="E12" i="28"/>
  <c r="E99" i="28"/>
  <c r="E113" i="28"/>
  <c r="E68" i="28"/>
  <c r="E65" i="28"/>
  <c r="E136" i="28"/>
  <c r="L136" i="28" s="1"/>
  <c r="E137" i="28"/>
  <c r="L137" i="28" s="1"/>
  <c r="E138" i="28"/>
  <c r="L138" i="28" s="1"/>
  <c r="E139" i="28"/>
  <c r="L139" i="28" s="1"/>
  <c r="E140" i="28"/>
  <c r="J140" i="28" s="1"/>
  <c r="E141" i="28"/>
  <c r="J141" i="28" s="1"/>
  <c r="E142" i="28"/>
  <c r="R142" i="28" s="1"/>
  <c r="S142" i="28" s="1"/>
  <c r="E143" i="28"/>
  <c r="R143" i="28" s="1"/>
  <c r="S143" i="28" s="1"/>
  <c r="E144" i="28"/>
  <c r="J144" i="28" s="1"/>
  <c r="E145" i="28"/>
  <c r="J145" i="28" s="1"/>
  <c r="E146" i="28"/>
  <c r="P146" i="28" s="1"/>
  <c r="Q146" i="28" s="1"/>
  <c r="E147" i="28"/>
  <c r="P147" i="28" s="1"/>
  <c r="Q147" i="28" s="1"/>
  <c r="E148" i="28"/>
  <c r="F148" i="28" s="1"/>
  <c r="E149" i="28"/>
  <c r="F149" i="28" s="1"/>
  <c r="E150" i="28"/>
  <c r="P150" i="28" s="1"/>
  <c r="Q150" i="28" s="1"/>
  <c r="E151" i="28"/>
  <c r="P151" i="28" s="1"/>
  <c r="Q151" i="28" s="1"/>
  <c r="E152" i="28"/>
  <c r="L152" i="28" s="1"/>
  <c r="E153" i="28"/>
  <c r="L153" i="28" s="1"/>
  <c r="E154" i="28"/>
  <c r="L154" i="28" s="1"/>
  <c r="E155" i="28"/>
  <c r="L155" i="28" s="1"/>
  <c r="E156" i="28"/>
  <c r="J156" i="28" s="1"/>
  <c r="E157" i="28"/>
  <c r="J157" i="28" s="1"/>
  <c r="E158" i="28"/>
  <c r="R158" i="28" s="1"/>
  <c r="S158" i="28" s="1"/>
  <c r="E159" i="28"/>
  <c r="R159" i="28" s="1"/>
  <c r="S159" i="28" s="1"/>
  <c r="E160" i="28"/>
  <c r="J160" i="28" s="1"/>
  <c r="E161" i="28"/>
  <c r="J161" i="28" s="1"/>
  <c r="E162" i="28"/>
  <c r="P162" i="28" s="1"/>
  <c r="Q162" i="28" s="1"/>
  <c r="E163" i="28"/>
  <c r="P163" i="28" s="1"/>
  <c r="Q163" i="28" s="1"/>
  <c r="E164" i="28"/>
  <c r="F164" i="28" s="1"/>
  <c r="E165" i="28"/>
  <c r="F165" i="28" s="1"/>
  <c r="E166" i="28"/>
  <c r="P166" i="28" s="1"/>
  <c r="Q166" i="28" s="1"/>
  <c r="E167" i="28"/>
  <c r="P167" i="28" s="1"/>
  <c r="Q167" i="28" s="1"/>
  <c r="E168" i="28"/>
  <c r="L168" i="28" s="1"/>
  <c r="E169" i="28"/>
  <c r="L169" i="28" s="1"/>
  <c r="E170" i="28"/>
  <c r="L170" i="28" s="1"/>
  <c r="E171" i="28"/>
  <c r="L171" i="28" s="1"/>
  <c r="E172" i="28"/>
  <c r="J172" i="28" s="1"/>
  <c r="E173" i="28"/>
  <c r="J173" i="28" s="1"/>
  <c r="E174" i="28"/>
  <c r="R174" i="28" s="1"/>
  <c r="S174" i="28" s="1"/>
  <c r="E175" i="28"/>
  <c r="R175" i="28" s="1"/>
  <c r="S175" i="28" s="1"/>
  <c r="E176" i="28"/>
  <c r="J176" i="28" s="1"/>
  <c r="E177" i="28"/>
  <c r="J177" i="28" s="1"/>
  <c r="E178" i="28"/>
  <c r="P178" i="28" s="1"/>
  <c r="Q178" i="28" s="1"/>
  <c r="E179" i="28"/>
  <c r="P179" i="28" s="1"/>
  <c r="Q179" i="28" s="1"/>
  <c r="E180" i="28"/>
  <c r="F180" i="28" s="1"/>
  <c r="E181" i="28"/>
  <c r="F181" i="28" s="1"/>
  <c r="E182" i="28"/>
  <c r="P182" i="28" s="1"/>
  <c r="Q182" i="28" s="1"/>
  <c r="E183" i="28"/>
  <c r="P183" i="28" s="1"/>
  <c r="Q183" i="28" s="1"/>
  <c r="E184" i="28"/>
  <c r="L184" i="28" s="1"/>
  <c r="E185" i="28"/>
  <c r="L185" i="28" s="1"/>
  <c r="E186" i="28"/>
  <c r="L186" i="28" s="1"/>
  <c r="E187" i="28"/>
  <c r="L187" i="28" s="1"/>
  <c r="E188" i="28"/>
  <c r="J188" i="28" s="1"/>
  <c r="E189" i="28"/>
  <c r="J189" i="28" s="1"/>
  <c r="E190" i="28"/>
  <c r="R190" i="28" s="1"/>
  <c r="S190" i="28" s="1"/>
  <c r="E191" i="28"/>
  <c r="R191" i="28" s="1"/>
  <c r="S191" i="28" s="1"/>
  <c r="E192" i="28"/>
  <c r="J192" i="28" s="1"/>
  <c r="E193" i="28"/>
  <c r="J193" i="28" s="1"/>
  <c r="E194" i="28"/>
  <c r="P194" i="28" s="1"/>
  <c r="Q194" i="28" s="1"/>
  <c r="E195" i="28"/>
  <c r="P195" i="28" s="1"/>
  <c r="Q195" i="28" s="1"/>
  <c r="E196" i="28"/>
  <c r="F196" i="28" s="1"/>
  <c r="E197" i="28"/>
  <c r="F197" i="28" s="1"/>
  <c r="E198" i="28"/>
  <c r="P198" i="28" s="1"/>
  <c r="Q198" i="28" s="1"/>
  <c r="E199" i="28"/>
  <c r="P199" i="28" s="1"/>
  <c r="Q199" i="28" s="1"/>
  <c r="E200" i="28"/>
  <c r="L200" i="28" s="1"/>
  <c r="E201" i="28"/>
  <c r="L201" i="28" s="1"/>
  <c r="E202" i="28"/>
  <c r="L202" i="28" s="1"/>
  <c r="E203" i="28"/>
  <c r="L203" i="28" s="1"/>
  <c r="E35" i="28"/>
  <c r="G135" i="28" l="1"/>
  <c r="G133" i="28"/>
  <c r="L132" i="28"/>
  <c r="F130" i="28"/>
  <c r="K130" i="28" s="1"/>
  <c r="J132" i="28"/>
  <c r="R124" i="28"/>
  <c r="S124" i="28" s="1"/>
  <c r="F132" i="28"/>
  <c r="M132" i="28" s="1"/>
  <c r="P124" i="28"/>
  <c r="Q124" i="28" s="1"/>
  <c r="J131" i="28"/>
  <c r="G131" i="28"/>
  <c r="H130" i="28"/>
  <c r="F134" i="28"/>
  <c r="O134" i="28" s="1"/>
  <c r="P128" i="28"/>
  <c r="Q128" i="28" s="1"/>
  <c r="H128" i="28"/>
  <c r="L133" i="28"/>
  <c r="J134" i="28"/>
  <c r="N124" i="28"/>
  <c r="H134" i="28"/>
  <c r="R130" i="28"/>
  <c r="S130" i="28" s="1"/>
  <c r="L124" i="28"/>
  <c r="N134" i="28"/>
  <c r="L134" i="28"/>
  <c r="G134" i="28"/>
  <c r="J130" i="28"/>
  <c r="R128" i="28"/>
  <c r="S128" i="28" s="1"/>
  <c r="N135" i="28"/>
  <c r="H132" i="28"/>
  <c r="H135" i="28"/>
  <c r="G132" i="28"/>
  <c r="H129" i="28"/>
  <c r="G129" i="28"/>
  <c r="F135" i="28"/>
  <c r="G128" i="28"/>
  <c r="F128" i="28"/>
  <c r="I128" i="28" s="1"/>
  <c r="G127" i="28"/>
  <c r="F127" i="28"/>
  <c r="I127" i="28" s="1"/>
  <c r="F126" i="28"/>
  <c r="I126" i="28" s="1"/>
  <c r="L135" i="28"/>
  <c r="J135" i="28"/>
  <c r="I125" i="28"/>
  <c r="K125" i="28"/>
  <c r="M125" i="28"/>
  <c r="O125" i="28"/>
  <c r="I124" i="28"/>
  <c r="K124" i="28"/>
  <c r="M124" i="28"/>
  <c r="O124" i="28"/>
  <c r="J133" i="28"/>
  <c r="H131" i="28"/>
  <c r="G130" i="28"/>
  <c r="F129" i="28"/>
  <c r="R125" i="28"/>
  <c r="S125" i="28" s="1"/>
  <c r="H133" i="28"/>
  <c r="F131" i="28"/>
  <c r="R127" i="28"/>
  <c r="S127" i="28" s="1"/>
  <c r="P125" i="28"/>
  <c r="Q125" i="28" s="1"/>
  <c r="P126" i="28"/>
  <c r="Q126" i="28" s="1"/>
  <c r="F133" i="28"/>
  <c r="R129" i="28"/>
  <c r="S129" i="28" s="1"/>
  <c r="P127" i="28"/>
  <c r="Q127" i="28" s="1"/>
  <c r="N125" i="28"/>
  <c r="N126" i="28"/>
  <c r="R131" i="28"/>
  <c r="S131" i="28" s="1"/>
  <c r="P129" i="28"/>
  <c r="Q129" i="28" s="1"/>
  <c r="N127" i="28"/>
  <c r="L125" i="28"/>
  <c r="R132" i="28"/>
  <c r="S132" i="28" s="1"/>
  <c r="P130" i="28"/>
  <c r="Q130" i="28" s="1"/>
  <c r="N128" i="28"/>
  <c r="L126" i="28"/>
  <c r="J124" i="28"/>
  <c r="R133" i="28"/>
  <c r="S133" i="28" s="1"/>
  <c r="P131" i="28"/>
  <c r="Q131" i="28" s="1"/>
  <c r="N129" i="28"/>
  <c r="L127" i="28"/>
  <c r="J125" i="28"/>
  <c r="R134" i="28"/>
  <c r="S134" i="28" s="1"/>
  <c r="P132" i="28"/>
  <c r="Q132" i="28" s="1"/>
  <c r="N130" i="28"/>
  <c r="L128" i="28"/>
  <c r="J126" i="28"/>
  <c r="H124" i="28"/>
  <c r="R126" i="28"/>
  <c r="S126" i="28" s="1"/>
  <c r="R135" i="28"/>
  <c r="S135" i="28" s="1"/>
  <c r="P133" i="28"/>
  <c r="Q133" i="28" s="1"/>
  <c r="N131" i="28"/>
  <c r="L129" i="28"/>
  <c r="J127" i="28"/>
  <c r="H125" i="28"/>
  <c r="G124" i="28"/>
  <c r="H126" i="28"/>
  <c r="G125" i="28"/>
  <c r="O196" i="28"/>
  <c r="K196" i="28"/>
  <c r="M196" i="28"/>
  <c r="I196" i="28"/>
  <c r="O180" i="28"/>
  <c r="K180" i="28"/>
  <c r="M180" i="28"/>
  <c r="I180" i="28"/>
  <c r="O164" i="28"/>
  <c r="K164" i="28"/>
  <c r="M164" i="28"/>
  <c r="I164" i="28"/>
  <c r="O148" i="28"/>
  <c r="K148" i="28"/>
  <c r="M148" i="28"/>
  <c r="I148" i="28"/>
  <c r="O197" i="28"/>
  <c r="K197" i="28"/>
  <c r="M197" i="28"/>
  <c r="I197" i="28"/>
  <c r="O181" i="28"/>
  <c r="K181" i="28"/>
  <c r="M181" i="28"/>
  <c r="I181" i="28"/>
  <c r="O165" i="28"/>
  <c r="K165" i="28"/>
  <c r="M165" i="28"/>
  <c r="I165" i="28"/>
  <c r="O149" i="28"/>
  <c r="K149" i="28"/>
  <c r="M149" i="28"/>
  <c r="I149" i="28"/>
  <c r="F195" i="28"/>
  <c r="F179" i="28"/>
  <c r="F163" i="28"/>
  <c r="F147" i="28"/>
  <c r="G140" i="28"/>
  <c r="G156" i="28"/>
  <c r="G172" i="28"/>
  <c r="G188" i="28"/>
  <c r="H136" i="28"/>
  <c r="H152" i="28"/>
  <c r="H168" i="28"/>
  <c r="H184" i="28"/>
  <c r="H200" i="28"/>
  <c r="L140" i="28"/>
  <c r="L156" i="28"/>
  <c r="L172" i="28"/>
  <c r="L188" i="28"/>
  <c r="J203" i="28"/>
  <c r="J187" i="28"/>
  <c r="J171" i="28"/>
  <c r="J155" i="28"/>
  <c r="J139" i="28"/>
  <c r="N144" i="28"/>
  <c r="N160" i="28"/>
  <c r="N176" i="28"/>
  <c r="N192" i="28"/>
  <c r="P136" i="28"/>
  <c r="Q136" i="28" s="1"/>
  <c r="P152" i="28"/>
  <c r="Q152" i="28" s="1"/>
  <c r="P168" i="28"/>
  <c r="Q168" i="28" s="1"/>
  <c r="P184" i="28"/>
  <c r="Q184" i="28" s="1"/>
  <c r="P200" i="28"/>
  <c r="Q200" i="28" s="1"/>
  <c r="R144" i="28"/>
  <c r="S144" i="28" s="1"/>
  <c r="R160" i="28"/>
  <c r="S160" i="28" s="1"/>
  <c r="R176" i="28"/>
  <c r="S176" i="28" s="1"/>
  <c r="R192" i="28"/>
  <c r="S192" i="28" s="1"/>
  <c r="F194" i="28"/>
  <c r="F178" i="28"/>
  <c r="F162" i="28"/>
  <c r="F146" i="28"/>
  <c r="G141" i="28"/>
  <c r="G157" i="28"/>
  <c r="G173" i="28"/>
  <c r="G189" i="28"/>
  <c r="H137" i="28"/>
  <c r="H153" i="28"/>
  <c r="H169" i="28"/>
  <c r="H185" i="28"/>
  <c r="H201" i="28"/>
  <c r="L141" i="28"/>
  <c r="L157" i="28"/>
  <c r="L173" i="28"/>
  <c r="L189" i="28"/>
  <c r="J202" i="28"/>
  <c r="J186" i="28"/>
  <c r="J170" i="28"/>
  <c r="J154" i="28"/>
  <c r="J138" i="28"/>
  <c r="N145" i="28"/>
  <c r="N161" i="28"/>
  <c r="N177" i="28"/>
  <c r="N193" i="28"/>
  <c r="P137" i="28"/>
  <c r="Q137" i="28" s="1"/>
  <c r="P153" i="28"/>
  <c r="Q153" i="28" s="1"/>
  <c r="P169" i="28"/>
  <c r="Q169" i="28" s="1"/>
  <c r="P185" i="28"/>
  <c r="Q185" i="28" s="1"/>
  <c r="P201" i="28"/>
  <c r="Q201" i="28" s="1"/>
  <c r="R145" i="28"/>
  <c r="S145" i="28" s="1"/>
  <c r="R161" i="28"/>
  <c r="S161" i="28" s="1"/>
  <c r="R177" i="28"/>
  <c r="S177" i="28" s="1"/>
  <c r="R193" i="28"/>
  <c r="S193" i="28" s="1"/>
  <c r="F193" i="28"/>
  <c r="F177" i="28"/>
  <c r="F161" i="28"/>
  <c r="F145" i="28"/>
  <c r="G142" i="28"/>
  <c r="G158" i="28"/>
  <c r="G174" i="28"/>
  <c r="G190" i="28"/>
  <c r="H138" i="28"/>
  <c r="H154" i="28"/>
  <c r="H170" i="28"/>
  <c r="H186" i="28"/>
  <c r="H202" i="28"/>
  <c r="L142" i="28"/>
  <c r="L158" i="28"/>
  <c r="L174" i="28"/>
  <c r="L190" i="28"/>
  <c r="J201" i="28"/>
  <c r="J185" i="28"/>
  <c r="J169" i="28"/>
  <c r="J153" i="28"/>
  <c r="J137" i="28"/>
  <c r="N146" i="28"/>
  <c r="N162" i="28"/>
  <c r="N178" i="28"/>
  <c r="N194" i="28"/>
  <c r="P138" i="28"/>
  <c r="Q138" i="28" s="1"/>
  <c r="P154" i="28"/>
  <c r="Q154" i="28" s="1"/>
  <c r="P170" i="28"/>
  <c r="Q170" i="28" s="1"/>
  <c r="P186" i="28"/>
  <c r="Q186" i="28" s="1"/>
  <c r="P202" i="28"/>
  <c r="Q202" i="28" s="1"/>
  <c r="R146" i="28"/>
  <c r="S146" i="28" s="1"/>
  <c r="R162" i="28"/>
  <c r="S162" i="28" s="1"/>
  <c r="R178" i="28"/>
  <c r="S178" i="28" s="1"/>
  <c r="R194" i="28"/>
  <c r="S194" i="28" s="1"/>
  <c r="F192" i="28"/>
  <c r="F176" i="28"/>
  <c r="F160" i="28"/>
  <c r="F144" i="28"/>
  <c r="G143" i="28"/>
  <c r="G159" i="28"/>
  <c r="G175" i="28"/>
  <c r="G191" i="28"/>
  <c r="H139" i="28"/>
  <c r="H155" i="28"/>
  <c r="H171" i="28"/>
  <c r="H187" i="28"/>
  <c r="H203" i="28"/>
  <c r="L143" i="28"/>
  <c r="L159" i="28"/>
  <c r="L175" i="28"/>
  <c r="L191" i="28"/>
  <c r="J200" i="28"/>
  <c r="J184" i="28"/>
  <c r="J168" i="28"/>
  <c r="J152" i="28"/>
  <c r="J136" i="28"/>
  <c r="N147" i="28"/>
  <c r="N163" i="28"/>
  <c r="N179" i="28"/>
  <c r="N195" i="28"/>
  <c r="P139" i="28"/>
  <c r="Q139" i="28" s="1"/>
  <c r="P155" i="28"/>
  <c r="Q155" i="28" s="1"/>
  <c r="P171" i="28"/>
  <c r="Q171" i="28" s="1"/>
  <c r="P187" i="28"/>
  <c r="Q187" i="28" s="1"/>
  <c r="P203" i="28"/>
  <c r="Q203" i="28" s="1"/>
  <c r="R147" i="28"/>
  <c r="S147" i="28" s="1"/>
  <c r="R163" i="28"/>
  <c r="S163" i="28" s="1"/>
  <c r="R179" i="28"/>
  <c r="S179" i="28" s="1"/>
  <c r="R195" i="28"/>
  <c r="S195" i="28" s="1"/>
  <c r="F191" i="28"/>
  <c r="F175" i="28"/>
  <c r="F159" i="28"/>
  <c r="F143" i="28"/>
  <c r="G144" i="28"/>
  <c r="G160" i="28"/>
  <c r="G176" i="28"/>
  <c r="G192" i="28"/>
  <c r="H140" i="28"/>
  <c r="H156" i="28"/>
  <c r="H172" i="28"/>
  <c r="H188" i="28"/>
  <c r="L144" i="28"/>
  <c r="L160" i="28"/>
  <c r="L176" i="28"/>
  <c r="L192" i="28"/>
  <c r="J199" i="28"/>
  <c r="J183" i="28"/>
  <c r="J167" i="28"/>
  <c r="J151" i="28"/>
  <c r="N148" i="28"/>
  <c r="N164" i="28"/>
  <c r="N180" i="28"/>
  <c r="N196" i="28"/>
  <c r="P140" i="28"/>
  <c r="Q140" i="28" s="1"/>
  <c r="P156" i="28"/>
  <c r="Q156" i="28" s="1"/>
  <c r="P172" i="28"/>
  <c r="Q172" i="28" s="1"/>
  <c r="P188" i="28"/>
  <c r="Q188" i="28" s="1"/>
  <c r="R148" i="28"/>
  <c r="S148" i="28" s="1"/>
  <c r="R164" i="28"/>
  <c r="S164" i="28" s="1"/>
  <c r="R180" i="28"/>
  <c r="S180" i="28" s="1"/>
  <c r="R196" i="28"/>
  <c r="S196" i="28" s="1"/>
  <c r="F190" i="28"/>
  <c r="F174" i="28"/>
  <c r="F158" i="28"/>
  <c r="F142" i="28"/>
  <c r="G145" i="28"/>
  <c r="G161" i="28"/>
  <c r="G177" i="28"/>
  <c r="G193" i="28"/>
  <c r="H141" i="28"/>
  <c r="H157" i="28"/>
  <c r="H173" i="28"/>
  <c r="H189" i="28"/>
  <c r="L145" i="28"/>
  <c r="L161" i="28"/>
  <c r="L177" i="28"/>
  <c r="L193" i="28"/>
  <c r="J198" i="28"/>
  <c r="J182" i="28"/>
  <c r="J166" i="28"/>
  <c r="J150" i="28"/>
  <c r="N149" i="28"/>
  <c r="N165" i="28"/>
  <c r="N181" i="28"/>
  <c r="N197" i="28"/>
  <c r="P141" i="28"/>
  <c r="Q141" i="28" s="1"/>
  <c r="P157" i="28"/>
  <c r="Q157" i="28" s="1"/>
  <c r="P173" i="28"/>
  <c r="Q173" i="28" s="1"/>
  <c r="P189" i="28"/>
  <c r="Q189" i="28" s="1"/>
  <c r="R149" i="28"/>
  <c r="S149" i="28" s="1"/>
  <c r="R165" i="28"/>
  <c r="S165" i="28" s="1"/>
  <c r="R181" i="28"/>
  <c r="S181" i="28" s="1"/>
  <c r="R197" i="28"/>
  <c r="S197" i="28" s="1"/>
  <c r="F189" i="28"/>
  <c r="F173" i="28"/>
  <c r="F157" i="28"/>
  <c r="F141" i="28"/>
  <c r="G146" i="28"/>
  <c r="G162" i="28"/>
  <c r="G178" i="28"/>
  <c r="G194" i="28"/>
  <c r="H142" i="28"/>
  <c r="H158" i="28"/>
  <c r="H174" i="28"/>
  <c r="H190" i="28"/>
  <c r="L146" i="28"/>
  <c r="L162" i="28"/>
  <c r="L178" i="28"/>
  <c r="L194" i="28"/>
  <c r="J197" i="28"/>
  <c r="J181" i="28"/>
  <c r="J165" i="28"/>
  <c r="J149" i="28"/>
  <c r="N150" i="28"/>
  <c r="N166" i="28"/>
  <c r="N182" i="28"/>
  <c r="N198" i="28"/>
  <c r="P142" i="28"/>
  <c r="Q142" i="28" s="1"/>
  <c r="P158" i="28"/>
  <c r="Q158" i="28" s="1"/>
  <c r="P174" i="28"/>
  <c r="Q174" i="28" s="1"/>
  <c r="P190" i="28"/>
  <c r="Q190" i="28" s="1"/>
  <c r="R150" i="28"/>
  <c r="S150" i="28" s="1"/>
  <c r="R166" i="28"/>
  <c r="S166" i="28" s="1"/>
  <c r="R182" i="28"/>
  <c r="S182" i="28" s="1"/>
  <c r="R198" i="28"/>
  <c r="S198" i="28" s="1"/>
  <c r="F188" i="28"/>
  <c r="F172" i="28"/>
  <c r="F156" i="28"/>
  <c r="F140" i="28"/>
  <c r="G147" i="28"/>
  <c r="G163" i="28"/>
  <c r="G179" i="28"/>
  <c r="G195" i="28"/>
  <c r="H143" i="28"/>
  <c r="H159" i="28"/>
  <c r="H175" i="28"/>
  <c r="H191" i="28"/>
  <c r="L147" i="28"/>
  <c r="L163" i="28"/>
  <c r="L179" i="28"/>
  <c r="L195" i="28"/>
  <c r="J196" i="28"/>
  <c r="J180" i="28"/>
  <c r="J164" i="28"/>
  <c r="J148" i="28"/>
  <c r="N151" i="28"/>
  <c r="N167" i="28"/>
  <c r="N183" i="28"/>
  <c r="N199" i="28"/>
  <c r="P143" i="28"/>
  <c r="Q143" i="28" s="1"/>
  <c r="P159" i="28"/>
  <c r="Q159" i="28" s="1"/>
  <c r="P175" i="28"/>
  <c r="Q175" i="28" s="1"/>
  <c r="P191" i="28"/>
  <c r="Q191" i="28" s="1"/>
  <c r="R151" i="28"/>
  <c r="S151" i="28" s="1"/>
  <c r="R167" i="28"/>
  <c r="S167" i="28" s="1"/>
  <c r="R183" i="28"/>
  <c r="S183" i="28" s="1"/>
  <c r="R199" i="28"/>
  <c r="S199" i="28" s="1"/>
  <c r="F203" i="28"/>
  <c r="F187" i="28"/>
  <c r="F171" i="28"/>
  <c r="F155" i="28"/>
  <c r="F139" i="28"/>
  <c r="G148" i="28"/>
  <c r="G164" i="28"/>
  <c r="G180" i="28"/>
  <c r="G196" i="28"/>
  <c r="H144" i="28"/>
  <c r="H160" i="28"/>
  <c r="H176" i="28"/>
  <c r="H192" i="28"/>
  <c r="L148" i="28"/>
  <c r="L164" i="28"/>
  <c r="L180" i="28"/>
  <c r="L196" i="28"/>
  <c r="J195" i="28"/>
  <c r="J179" i="28"/>
  <c r="J163" i="28"/>
  <c r="J147" i="28"/>
  <c r="N136" i="28"/>
  <c r="N152" i="28"/>
  <c r="N168" i="28"/>
  <c r="N184" i="28"/>
  <c r="N200" i="28"/>
  <c r="P144" i="28"/>
  <c r="Q144" i="28" s="1"/>
  <c r="P160" i="28"/>
  <c r="Q160" i="28" s="1"/>
  <c r="P176" i="28"/>
  <c r="Q176" i="28" s="1"/>
  <c r="P192" i="28"/>
  <c r="Q192" i="28" s="1"/>
  <c r="R136" i="28"/>
  <c r="S136" i="28" s="1"/>
  <c r="R152" i="28"/>
  <c r="S152" i="28" s="1"/>
  <c r="R168" i="28"/>
  <c r="S168" i="28" s="1"/>
  <c r="R184" i="28"/>
  <c r="S184" i="28" s="1"/>
  <c r="R200" i="28"/>
  <c r="S200" i="28" s="1"/>
  <c r="F202" i="28"/>
  <c r="F186" i="28"/>
  <c r="F170" i="28"/>
  <c r="F154" i="28"/>
  <c r="F138" i="28"/>
  <c r="G149" i="28"/>
  <c r="G165" i="28"/>
  <c r="G181" i="28"/>
  <c r="G197" i="28"/>
  <c r="H145" i="28"/>
  <c r="H161" i="28"/>
  <c r="H177" i="28"/>
  <c r="H193" i="28"/>
  <c r="L149" i="28"/>
  <c r="L165" i="28"/>
  <c r="L181" i="28"/>
  <c r="L197" i="28"/>
  <c r="J194" i="28"/>
  <c r="J178" i="28"/>
  <c r="J162" i="28"/>
  <c r="J146" i="28"/>
  <c r="N137" i="28"/>
  <c r="N153" i="28"/>
  <c r="N169" i="28"/>
  <c r="N185" i="28"/>
  <c r="N201" i="28"/>
  <c r="P145" i="28"/>
  <c r="Q145" i="28" s="1"/>
  <c r="P161" i="28"/>
  <c r="Q161" i="28" s="1"/>
  <c r="P177" i="28"/>
  <c r="Q177" i="28" s="1"/>
  <c r="P193" i="28"/>
  <c r="Q193" i="28" s="1"/>
  <c r="R137" i="28"/>
  <c r="S137" i="28" s="1"/>
  <c r="R153" i="28"/>
  <c r="S153" i="28" s="1"/>
  <c r="R169" i="28"/>
  <c r="S169" i="28" s="1"/>
  <c r="R185" i="28"/>
  <c r="S185" i="28" s="1"/>
  <c r="R201" i="28"/>
  <c r="S201" i="28" s="1"/>
  <c r="F201" i="28"/>
  <c r="F185" i="28"/>
  <c r="F169" i="28"/>
  <c r="F153" i="28"/>
  <c r="F137" i="28"/>
  <c r="G150" i="28"/>
  <c r="G166" i="28"/>
  <c r="G182" i="28"/>
  <c r="G198" i="28"/>
  <c r="H146" i="28"/>
  <c r="H162" i="28"/>
  <c r="H178" i="28"/>
  <c r="H194" i="28"/>
  <c r="L150" i="28"/>
  <c r="L166" i="28"/>
  <c r="L182" i="28"/>
  <c r="L198" i="28"/>
  <c r="N138" i="28"/>
  <c r="N154" i="28"/>
  <c r="N170" i="28"/>
  <c r="N186" i="28"/>
  <c r="N202" i="28"/>
  <c r="R138" i="28"/>
  <c r="S138" i="28" s="1"/>
  <c r="R154" i="28"/>
  <c r="S154" i="28" s="1"/>
  <c r="R170" i="28"/>
  <c r="S170" i="28" s="1"/>
  <c r="R186" i="28"/>
  <c r="S186" i="28" s="1"/>
  <c r="R202" i="28"/>
  <c r="S202" i="28" s="1"/>
  <c r="F200" i="28"/>
  <c r="F184" i="28"/>
  <c r="F168" i="28"/>
  <c r="F152" i="28"/>
  <c r="F136" i="28"/>
  <c r="G151" i="28"/>
  <c r="G167" i="28"/>
  <c r="G183" i="28"/>
  <c r="G199" i="28"/>
  <c r="H147" i="28"/>
  <c r="H163" i="28"/>
  <c r="H179" i="28"/>
  <c r="H195" i="28"/>
  <c r="L151" i="28"/>
  <c r="L167" i="28"/>
  <c r="L183" i="28"/>
  <c r="L199" i="28"/>
  <c r="N139" i="28"/>
  <c r="N155" i="28"/>
  <c r="N171" i="28"/>
  <c r="N187" i="28"/>
  <c r="N203" i="28"/>
  <c r="R139" i="28"/>
  <c r="S139" i="28" s="1"/>
  <c r="R155" i="28"/>
  <c r="S155" i="28" s="1"/>
  <c r="R171" i="28"/>
  <c r="S171" i="28" s="1"/>
  <c r="R187" i="28"/>
  <c r="S187" i="28" s="1"/>
  <c r="R203" i="28"/>
  <c r="S203" i="28" s="1"/>
  <c r="F199" i="28"/>
  <c r="F183" i="28"/>
  <c r="F167" i="28"/>
  <c r="F151" i="28"/>
  <c r="G136" i="28"/>
  <c r="G152" i="28"/>
  <c r="G168" i="28"/>
  <c r="G184" i="28"/>
  <c r="G200" i="28"/>
  <c r="H148" i="28"/>
  <c r="H164" i="28"/>
  <c r="H180" i="28"/>
  <c r="H196" i="28"/>
  <c r="J191" i="28"/>
  <c r="J175" i="28"/>
  <c r="J159" i="28"/>
  <c r="J143" i="28"/>
  <c r="N140" i="28"/>
  <c r="N156" i="28"/>
  <c r="N172" i="28"/>
  <c r="N188" i="28"/>
  <c r="P148" i="28"/>
  <c r="Q148" i="28" s="1"/>
  <c r="P164" i="28"/>
  <c r="Q164" i="28" s="1"/>
  <c r="P180" i="28"/>
  <c r="Q180" i="28" s="1"/>
  <c r="P196" i="28"/>
  <c r="Q196" i="28" s="1"/>
  <c r="R140" i="28"/>
  <c r="S140" i="28" s="1"/>
  <c r="R156" i="28"/>
  <c r="S156" i="28" s="1"/>
  <c r="R172" i="28"/>
  <c r="S172" i="28" s="1"/>
  <c r="R188" i="28"/>
  <c r="S188" i="28" s="1"/>
  <c r="F198" i="28"/>
  <c r="F182" i="28"/>
  <c r="F166" i="28"/>
  <c r="F150" i="28"/>
  <c r="G137" i="28"/>
  <c r="G153" i="28"/>
  <c r="G169" i="28"/>
  <c r="G185" i="28"/>
  <c r="G201" i="28"/>
  <c r="H149" i="28"/>
  <c r="H165" i="28"/>
  <c r="H181" i="28"/>
  <c r="H197" i="28"/>
  <c r="J190" i="28"/>
  <c r="J174" i="28"/>
  <c r="J158" i="28"/>
  <c r="J142" i="28"/>
  <c r="N141" i="28"/>
  <c r="N157" i="28"/>
  <c r="N173" i="28"/>
  <c r="N189" i="28"/>
  <c r="P149" i="28"/>
  <c r="Q149" i="28" s="1"/>
  <c r="P165" i="28"/>
  <c r="Q165" i="28" s="1"/>
  <c r="P181" i="28"/>
  <c r="Q181" i="28" s="1"/>
  <c r="P197" i="28"/>
  <c r="Q197" i="28" s="1"/>
  <c r="R141" i="28"/>
  <c r="S141" i="28" s="1"/>
  <c r="R157" i="28"/>
  <c r="S157" i="28" s="1"/>
  <c r="R173" i="28"/>
  <c r="S173" i="28" s="1"/>
  <c r="R189" i="28"/>
  <c r="S189" i="28" s="1"/>
  <c r="G138" i="28"/>
  <c r="G154" i="28"/>
  <c r="G170" i="28"/>
  <c r="G186" i="28"/>
  <c r="G202" i="28"/>
  <c r="H150" i="28"/>
  <c r="H166" i="28"/>
  <c r="H182" i="28"/>
  <c r="H198" i="28"/>
  <c r="N142" i="28"/>
  <c r="N158" i="28"/>
  <c r="N174" i="28"/>
  <c r="N190" i="28"/>
  <c r="G139" i="28"/>
  <c r="G155" i="28"/>
  <c r="G171" i="28"/>
  <c r="G187" i="28"/>
  <c r="G203" i="28"/>
  <c r="H151" i="28"/>
  <c r="H167" i="28"/>
  <c r="H183" i="28"/>
  <c r="H199" i="28"/>
  <c r="N143" i="28"/>
  <c r="N159" i="28"/>
  <c r="N175" i="28"/>
  <c r="N191" i="28"/>
  <c r="G35" i="28"/>
  <c r="F35" i="28"/>
  <c r="G65" i="28"/>
  <c r="F65" i="28"/>
  <c r="G68" i="28"/>
  <c r="F68" i="28"/>
  <c r="G113" i="28"/>
  <c r="F113" i="28"/>
  <c r="G99" i="28"/>
  <c r="F99" i="28"/>
  <c r="G12" i="28"/>
  <c r="F12" i="28"/>
  <c r="G105" i="28"/>
  <c r="F105" i="28"/>
  <c r="G45" i="28"/>
  <c r="F45" i="28"/>
  <c r="G102" i="28"/>
  <c r="F102" i="28"/>
  <c r="G64" i="28"/>
  <c r="F64" i="28"/>
  <c r="G89" i="28"/>
  <c r="F89" i="28"/>
  <c r="G77" i="28"/>
  <c r="F77" i="28"/>
  <c r="G75" i="28"/>
  <c r="F75" i="28"/>
  <c r="G43" i="28"/>
  <c r="F43" i="28"/>
  <c r="G107" i="28"/>
  <c r="F107" i="28"/>
  <c r="G32" i="28"/>
  <c r="F32" i="28"/>
  <c r="G8" i="28"/>
  <c r="F8" i="28"/>
  <c r="G14" i="28"/>
  <c r="F14" i="28"/>
  <c r="G69" i="28"/>
  <c r="F69" i="28"/>
  <c r="G98" i="28"/>
  <c r="F98" i="28"/>
  <c r="G56" i="28"/>
  <c r="F56" i="28"/>
  <c r="G104" i="28"/>
  <c r="F104" i="28"/>
  <c r="G50" i="28"/>
  <c r="F50" i="28"/>
  <c r="G119" i="28"/>
  <c r="F119" i="28"/>
  <c r="G95" i="28"/>
  <c r="F95" i="28"/>
  <c r="G108" i="28"/>
  <c r="F108" i="28"/>
  <c r="G70" i="28"/>
  <c r="F70" i="28"/>
  <c r="G26" i="28"/>
  <c r="F26" i="28"/>
  <c r="G13" i="28"/>
  <c r="F13" i="28"/>
  <c r="G115" i="28"/>
  <c r="F115" i="28"/>
  <c r="G48" i="28"/>
  <c r="F48" i="28"/>
  <c r="G117" i="28"/>
  <c r="F117" i="28"/>
  <c r="G81" i="28"/>
  <c r="F81" i="28"/>
  <c r="G78" i="28"/>
  <c r="F78" i="28"/>
  <c r="G72" i="28"/>
  <c r="F72" i="28"/>
  <c r="G40" i="28"/>
  <c r="F40" i="28"/>
  <c r="G94" i="28"/>
  <c r="F94" i="28"/>
  <c r="G71" i="28"/>
  <c r="F71" i="28"/>
  <c r="G29" i="28"/>
  <c r="F29" i="28"/>
  <c r="G123" i="28"/>
  <c r="F123" i="28"/>
  <c r="G55" i="28"/>
  <c r="F55" i="28"/>
  <c r="G112" i="28"/>
  <c r="F112" i="28"/>
  <c r="G73" i="28"/>
  <c r="F73" i="28"/>
  <c r="G91" i="28"/>
  <c r="F91" i="28"/>
  <c r="G46" i="28"/>
  <c r="F46" i="28"/>
  <c r="G88" i="28"/>
  <c r="F88" i="28"/>
  <c r="G10" i="28"/>
  <c r="F10" i="28"/>
  <c r="G54" i="28"/>
  <c r="F54" i="28"/>
  <c r="G39" i="28"/>
  <c r="F39" i="28"/>
  <c r="G25" i="28"/>
  <c r="F25" i="28"/>
  <c r="G22" i="28"/>
  <c r="F22" i="28"/>
  <c r="G120" i="28"/>
  <c r="F120" i="28"/>
  <c r="G80" i="28"/>
  <c r="F80" i="28"/>
  <c r="G96" i="28"/>
  <c r="F96" i="28"/>
  <c r="G118" i="28"/>
  <c r="F118" i="28"/>
  <c r="G33" i="28"/>
  <c r="F33" i="28"/>
  <c r="G44" i="28"/>
  <c r="F44" i="28"/>
  <c r="G31" i="28"/>
  <c r="F31" i="28"/>
  <c r="G121" i="28"/>
  <c r="F121" i="28"/>
  <c r="G51" i="28"/>
  <c r="F51" i="28"/>
  <c r="G27" i="28"/>
  <c r="F27" i="28"/>
  <c r="G18" i="28"/>
  <c r="F18" i="28"/>
  <c r="G58" i="28"/>
  <c r="F58" i="28"/>
  <c r="G41" i="28"/>
  <c r="F41" i="28"/>
  <c r="G15" i="28"/>
  <c r="F15" i="28"/>
  <c r="G90" i="28"/>
  <c r="F90" i="28"/>
  <c r="G17" i="28"/>
  <c r="F17" i="28"/>
  <c r="G92" i="28"/>
  <c r="F92" i="28"/>
  <c r="G106" i="28"/>
  <c r="F106" i="28"/>
  <c r="G85" i="28"/>
  <c r="F85" i="28"/>
  <c r="G16" i="28"/>
  <c r="F16" i="28"/>
  <c r="G86" i="28"/>
  <c r="F86" i="28"/>
  <c r="G101" i="28"/>
  <c r="F101" i="28"/>
  <c r="G79" i="28"/>
  <c r="F79" i="28"/>
  <c r="G114" i="28"/>
  <c r="F114" i="28"/>
  <c r="G60" i="28"/>
  <c r="F60" i="28"/>
  <c r="G110" i="28"/>
  <c r="F110" i="28"/>
  <c r="G87" i="28"/>
  <c r="F87" i="28"/>
  <c r="G63" i="28"/>
  <c r="F63" i="28"/>
  <c r="G11" i="28"/>
  <c r="F11" i="28"/>
  <c r="G28" i="28"/>
  <c r="F28" i="28"/>
  <c r="G100" i="28"/>
  <c r="F100" i="28"/>
  <c r="G9" i="28"/>
  <c r="F9" i="28"/>
  <c r="G21" i="28"/>
  <c r="F21" i="28"/>
  <c r="G109" i="28"/>
  <c r="F109" i="28"/>
  <c r="G52" i="28"/>
  <c r="F52" i="28"/>
  <c r="G97" i="28"/>
  <c r="F97" i="28"/>
  <c r="G42" i="28"/>
  <c r="F42" i="28"/>
  <c r="G30" i="28"/>
  <c r="F30" i="28"/>
  <c r="G19" i="28"/>
  <c r="F19" i="28"/>
  <c r="G53" i="28"/>
  <c r="F53" i="28"/>
  <c r="G20" i="28"/>
  <c r="F20" i="28"/>
  <c r="G23" i="28"/>
  <c r="F23" i="28"/>
  <c r="G49" i="28"/>
  <c r="F49" i="28"/>
  <c r="G67" i="28"/>
  <c r="F67" i="28"/>
  <c r="G62" i="28"/>
  <c r="F62" i="28"/>
  <c r="G24" i="28"/>
  <c r="F24" i="28"/>
  <c r="G74" i="28"/>
  <c r="F74" i="28"/>
  <c r="G84" i="28"/>
  <c r="F84" i="28"/>
  <c r="G59" i="28"/>
  <c r="F59" i="28"/>
  <c r="G83" i="28"/>
  <c r="F83" i="28"/>
  <c r="G103" i="28"/>
  <c r="F103" i="28"/>
  <c r="G34" i="28"/>
  <c r="F34" i="28"/>
  <c r="G66" i="28"/>
  <c r="F66" i="28"/>
  <c r="G76" i="28"/>
  <c r="F76" i="28"/>
  <c r="G47" i="28"/>
  <c r="F47" i="28"/>
  <c r="G82" i="28"/>
  <c r="F82" i="28"/>
  <c r="G37" i="28"/>
  <c r="F37" i="28"/>
  <c r="G36" i="28"/>
  <c r="F36" i="28"/>
  <c r="G61" i="28"/>
  <c r="F61" i="28"/>
  <c r="G57" i="28"/>
  <c r="F57" i="28"/>
  <c r="G116" i="28"/>
  <c r="F116" i="28"/>
  <c r="G111" i="28"/>
  <c r="F111" i="28"/>
  <c r="G38" i="28"/>
  <c r="F38" i="28"/>
  <c r="G122" i="28"/>
  <c r="F122" i="28"/>
  <c r="G93" i="28"/>
  <c r="F93" i="28"/>
  <c r="M65" i="24"/>
  <c r="M66" i="24"/>
  <c r="M67" i="24"/>
  <c r="M68" i="24"/>
  <c r="M69" i="24"/>
  <c r="M70" i="24"/>
  <c r="M71" i="24"/>
  <c r="M72" i="24"/>
  <c r="M73" i="24"/>
  <c r="M74" i="24"/>
  <c r="M75" i="24"/>
  <c r="M76" i="24"/>
  <c r="M77" i="24"/>
  <c r="M78" i="24"/>
  <c r="M79" i="24"/>
  <c r="M80" i="24"/>
  <c r="M81" i="24"/>
  <c r="M82" i="24"/>
  <c r="M83" i="24"/>
  <c r="M84" i="24"/>
  <c r="M85" i="24"/>
  <c r="M86" i="24"/>
  <c r="M87" i="24"/>
  <c r="M88" i="24"/>
  <c r="M89" i="24"/>
  <c r="M90" i="24"/>
  <c r="M91" i="24"/>
  <c r="M92" i="24"/>
  <c r="M93" i="24"/>
  <c r="M94" i="24"/>
  <c r="M95" i="24"/>
  <c r="M96" i="24"/>
  <c r="M97" i="24"/>
  <c r="M98" i="24"/>
  <c r="M99" i="24"/>
  <c r="M100" i="24"/>
  <c r="M101" i="24"/>
  <c r="M102" i="24"/>
  <c r="M103" i="24"/>
  <c r="M104" i="24"/>
  <c r="M105" i="24"/>
  <c r="M106" i="24"/>
  <c r="M107" i="24"/>
  <c r="M108" i="24"/>
  <c r="M109" i="24"/>
  <c r="M110" i="24"/>
  <c r="M111" i="24"/>
  <c r="M112" i="24"/>
  <c r="M113" i="24"/>
  <c r="M114" i="24"/>
  <c r="M115" i="24"/>
  <c r="M116" i="24"/>
  <c r="M117" i="24"/>
  <c r="M118" i="24"/>
  <c r="M119" i="24"/>
  <c r="M120" i="24"/>
  <c r="M121" i="24"/>
  <c r="M122" i="24"/>
  <c r="M123" i="24"/>
  <c r="M124" i="24"/>
  <c r="M125" i="24"/>
  <c r="M126" i="24"/>
  <c r="M127" i="24"/>
  <c r="M128" i="24"/>
  <c r="M129" i="24"/>
  <c r="M130" i="24"/>
  <c r="M131" i="24"/>
  <c r="M132" i="24"/>
  <c r="M133" i="24"/>
  <c r="M134" i="24"/>
  <c r="M135" i="24"/>
  <c r="M136" i="24"/>
  <c r="M137" i="24"/>
  <c r="M138" i="24"/>
  <c r="M139" i="24"/>
  <c r="M196" i="24"/>
  <c r="J122" i="28" s="1"/>
  <c r="M197" i="24"/>
  <c r="M198" i="24"/>
  <c r="M199" i="24"/>
  <c r="M200" i="24"/>
  <c r="M201" i="24"/>
  <c r="M202" i="24"/>
  <c r="M203" i="24"/>
  <c r="M204" i="24"/>
  <c r="M205" i="24"/>
  <c r="I134" i="28" l="1"/>
  <c r="M134" i="28"/>
  <c r="I130" i="28"/>
  <c r="I132" i="28"/>
  <c r="M130" i="28"/>
  <c r="O130" i="28"/>
  <c r="O132" i="28"/>
  <c r="K132" i="28"/>
  <c r="K134" i="28"/>
  <c r="M128" i="28"/>
  <c r="U164" i="28"/>
  <c r="V164" i="28" s="1"/>
  <c r="O127" i="28"/>
  <c r="U181" i="28"/>
  <c r="V181" i="28" s="1"/>
  <c r="U180" i="28"/>
  <c r="V180" i="28" s="1"/>
  <c r="U165" i="28"/>
  <c r="V165" i="28" s="1"/>
  <c r="U197" i="28"/>
  <c r="V197" i="28" s="1"/>
  <c r="U196" i="28"/>
  <c r="V196" i="28" s="1"/>
  <c r="M127" i="28"/>
  <c r="K127" i="28"/>
  <c r="U149" i="28"/>
  <c r="V149" i="28" s="1"/>
  <c r="U148" i="28"/>
  <c r="V148" i="28" s="1"/>
  <c r="O126" i="28"/>
  <c r="K135" i="28"/>
  <c r="M135" i="28"/>
  <c r="O135" i="28"/>
  <c r="I135" i="28"/>
  <c r="U124" i="28"/>
  <c r="V124" i="28" s="1"/>
  <c r="M126" i="28"/>
  <c r="U125" i="28"/>
  <c r="V125" i="28" s="1"/>
  <c r="K128" i="28"/>
  <c r="K126" i="28"/>
  <c r="O128" i="28"/>
  <c r="K129" i="28"/>
  <c r="M129" i="28"/>
  <c r="O129" i="28"/>
  <c r="I129" i="28"/>
  <c r="O133" i="28"/>
  <c r="M133" i="28"/>
  <c r="K133" i="28"/>
  <c r="I133" i="28"/>
  <c r="M131" i="28"/>
  <c r="K131" i="28"/>
  <c r="O131" i="28"/>
  <c r="I131" i="28"/>
  <c r="M195" i="28"/>
  <c r="I195" i="28"/>
  <c r="O195" i="28"/>
  <c r="K195" i="28"/>
  <c r="O168" i="28"/>
  <c r="K168" i="28"/>
  <c r="M168" i="28"/>
  <c r="I168" i="28"/>
  <c r="O202" i="28"/>
  <c r="K202" i="28"/>
  <c r="M202" i="28"/>
  <c r="I202" i="28"/>
  <c r="O155" i="28"/>
  <c r="K155" i="28"/>
  <c r="M155" i="28"/>
  <c r="I155" i="28"/>
  <c r="K140" i="28"/>
  <c r="M140" i="28"/>
  <c r="I140" i="28"/>
  <c r="O140" i="28"/>
  <c r="K141" i="28"/>
  <c r="M141" i="28"/>
  <c r="I141" i="28"/>
  <c r="O141" i="28"/>
  <c r="K142" i="28"/>
  <c r="M142" i="28"/>
  <c r="I142" i="28"/>
  <c r="O142" i="28"/>
  <c r="K143" i="28"/>
  <c r="M143" i="28"/>
  <c r="I143" i="28"/>
  <c r="O143" i="28"/>
  <c r="O152" i="28"/>
  <c r="K152" i="28"/>
  <c r="M152" i="28"/>
  <c r="I152" i="28"/>
  <c r="O186" i="28"/>
  <c r="K186" i="28"/>
  <c r="M186" i="28"/>
  <c r="I186" i="28"/>
  <c r="O184" i="28"/>
  <c r="K184" i="28"/>
  <c r="M184" i="28"/>
  <c r="I184" i="28"/>
  <c r="O171" i="28"/>
  <c r="K171" i="28"/>
  <c r="M171" i="28"/>
  <c r="I171" i="28"/>
  <c r="K156" i="28"/>
  <c r="M156" i="28"/>
  <c r="I156" i="28"/>
  <c r="O156" i="28"/>
  <c r="K157" i="28"/>
  <c r="M157" i="28"/>
  <c r="I157" i="28"/>
  <c r="O157" i="28"/>
  <c r="K158" i="28"/>
  <c r="M158" i="28"/>
  <c r="I158" i="28"/>
  <c r="O158" i="28"/>
  <c r="K159" i="28"/>
  <c r="M159" i="28"/>
  <c r="I159" i="28"/>
  <c r="O159" i="28"/>
  <c r="O139" i="28"/>
  <c r="K139" i="28"/>
  <c r="M139" i="28"/>
  <c r="I139" i="28"/>
  <c r="O200" i="28"/>
  <c r="K200" i="28"/>
  <c r="M200" i="28"/>
  <c r="I200" i="28"/>
  <c r="O187" i="28"/>
  <c r="K187" i="28"/>
  <c r="M187" i="28"/>
  <c r="I187" i="28"/>
  <c r="K172" i="28"/>
  <c r="M172" i="28"/>
  <c r="I172" i="28"/>
  <c r="O172" i="28"/>
  <c r="K173" i="28"/>
  <c r="M173" i="28"/>
  <c r="I173" i="28"/>
  <c r="O173" i="28"/>
  <c r="K174" i="28"/>
  <c r="M174" i="28"/>
  <c r="I174" i="28"/>
  <c r="O174" i="28"/>
  <c r="K175" i="28"/>
  <c r="M175" i="28"/>
  <c r="I175" i="28"/>
  <c r="O175" i="28"/>
  <c r="O203" i="28"/>
  <c r="K203" i="28"/>
  <c r="M203" i="28"/>
  <c r="I203" i="28"/>
  <c r="K188" i="28"/>
  <c r="M188" i="28"/>
  <c r="I188" i="28"/>
  <c r="O188" i="28"/>
  <c r="K189" i="28"/>
  <c r="M189" i="28"/>
  <c r="I189" i="28"/>
  <c r="O189" i="28"/>
  <c r="K190" i="28"/>
  <c r="M190" i="28"/>
  <c r="I190" i="28"/>
  <c r="O190" i="28"/>
  <c r="K191" i="28"/>
  <c r="M191" i="28"/>
  <c r="I191" i="28"/>
  <c r="O191" i="28"/>
  <c r="M144" i="28"/>
  <c r="I144" i="28"/>
  <c r="O144" i="28"/>
  <c r="K144" i="28"/>
  <c r="M160" i="28"/>
  <c r="I160" i="28"/>
  <c r="O160" i="28"/>
  <c r="K160" i="28"/>
  <c r="O151" i="28"/>
  <c r="K151" i="28"/>
  <c r="M151" i="28"/>
  <c r="I151" i="28"/>
  <c r="O167" i="28"/>
  <c r="K167" i="28"/>
  <c r="M167" i="28"/>
  <c r="I167" i="28"/>
  <c r="M176" i="28"/>
  <c r="I176" i="28"/>
  <c r="O176" i="28"/>
  <c r="K176" i="28"/>
  <c r="O183" i="28"/>
  <c r="K183" i="28"/>
  <c r="M183" i="28"/>
  <c r="I183" i="28"/>
  <c r="M192" i="28"/>
  <c r="I192" i="28"/>
  <c r="O192" i="28"/>
  <c r="K192" i="28"/>
  <c r="M145" i="28"/>
  <c r="I145" i="28"/>
  <c r="O145" i="28"/>
  <c r="K145" i="28"/>
  <c r="O150" i="28"/>
  <c r="K150" i="28"/>
  <c r="M150" i="28"/>
  <c r="I150" i="28"/>
  <c r="O199" i="28"/>
  <c r="K199" i="28"/>
  <c r="M199" i="28"/>
  <c r="I199" i="28"/>
  <c r="M161" i="28"/>
  <c r="I161" i="28"/>
  <c r="O161" i="28"/>
  <c r="K161" i="28"/>
  <c r="O166" i="28"/>
  <c r="K166" i="28"/>
  <c r="M166" i="28"/>
  <c r="I166" i="28"/>
  <c r="M177" i="28"/>
  <c r="I177" i="28"/>
  <c r="O177" i="28"/>
  <c r="K177" i="28"/>
  <c r="O182" i="28"/>
  <c r="K182" i="28"/>
  <c r="M182" i="28"/>
  <c r="I182" i="28"/>
  <c r="O137" i="28"/>
  <c r="K137" i="28"/>
  <c r="M137" i="28"/>
  <c r="I137" i="28"/>
  <c r="M193" i="28"/>
  <c r="I193" i="28"/>
  <c r="O193" i="28"/>
  <c r="K193" i="28"/>
  <c r="M146" i="28"/>
  <c r="I146" i="28"/>
  <c r="O146" i="28"/>
  <c r="K146" i="28"/>
  <c r="O198" i="28"/>
  <c r="K198" i="28"/>
  <c r="M198" i="28"/>
  <c r="I198" i="28"/>
  <c r="O153" i="28"/>
  <c r="K153" i="28"/>
  <c r="M153" i="28"/>
  <c r="I153" i="28"/>
  <c r="M162" i="28"/>
  <c r="I162" i="28"/>
  <c r="O162" i="28"/>
  <c r="K162" i="28"/>
  <c r="M178" i="28"/>
  <c r="I178" i="28"/>
  <c r="O178" i="28"/>
  <c r="K178" i="28"/>
  <c r="O169" i="28"/>
  <c r="K169" i="28"/>
  <c r="M169" i="28"/>
  <c r="I169" i="28"/>
  <c r="O185" i="28"/>
  <c r="K185" i="28"/>
  <c r="M185" i="28"/>
  <c r="I185" i="28"/>
  <c r="O138" i="28"/>
  <c r="K138" i="28"/>
  <c r="M138" i="28"/>
  <c r="I138" i="28"/>
  <c r="M194" i="28"/>
  <c r="I194" i="28"/>
  <c r="O194" i="28"/>
  <c r="K194" i="28"/>
  <c r="M147" i="28"/>
  <c r="I147" i="28"/>
  <c r="O147" i="28"/>
  <c r="K147" i="28"/>
  <c r="O201" i="28"/>
  <c r="K201" i="28"/>
  <c r="M201" i="28"/>
  <c r="I201" i="28"/>
  <c r="O154" i="28"/>
  <c r="K154" i="28"/>
  <c r="M154" i="28"/>
  <c r="I154" i="28"/>
  <c r="M163" i="28"/>
  <c r="I163" i="28"/>
  <c r="O163" i="28"/>
  <c r="K163" i="28"/>
  <c r="O136" i="28"/>
  <c r="K136" i="28"/>
  <c r="M136" i="28"/>
  <c r="I136" i="28"/>
  <c r="O170" i="28"/>
  <c r="K170" i="28"/>
  <c r="M170" i="28"/>
  <c r="I170" i="28"/>
  <c r="M179" i="28"/>
  <c r="I179" i="28"/>
  <c r="O179" i="28"/>
  <c r="K179" i="28"/>
  <c r="K122" i="28"/>
  <c r="N196" i="24"/>
  <c r="L122" i="28" s="1"/>
  <c r="M122" i="28" s="1"/>
  <c r="N197" i="24"/>
  <c r="N198" i="24"/>
  <c r="N199" i="24"/>
  <c r="N200" i="24"/>
  <c r="N201" i="24"/>
  <c r="N202" i="24"/>
  <c r="N203" i="24"/>
  <c r="N204" i="24"/>
  <c r="N205" i="24"/>
  <c r="Y12" i="24"/>
  <c r="N37" i="24" s="1"/>
  <c r="BL99" i="21"/>
  <c r="BL100" i="21" s="1" a="1"/>
  <c r="BL100" i="21" s="1"/>
  <c r="B201" i="21" a="1"/>
  <c r="B201" i="21" s="1"/>
  <c r="B200" i="21"/>
  <c r="U134" i="28" l="1"/>
  <c r="V134" i="28" s="1"/>
  <c r="U132" i="28"/>
  <c r="V132" i="28" s="1"/>
  <c r="U130" i="28"/>
  <c r="V130" i="28" s="1"/>
  <c r="U127" i="28"/>
  <c r="V127" i="28" s="1"/>
  <c r="U154" i="28"/>
  <c r="V154" i="28" s="1"/>
  <c r="U138" i="28"/>
  <c r="V138" i="28" s="1"/>
  <c r="U166" i="28"/>
  <c r="V166" i="28" s="1"/>
  <c r="U163" i="28"/>
  <c r="V163" i="28" s="1"/>
  <c r="U194" i="28"/>
  <c r="V194" i="28" s="1"/>
  <c r="U178" i="28"/>
  <c r="V178" i="28" s="1"/>
  <c r="U146" i="28"/>
  <c r="V146" i="28" s="1"/>
  <c r="U177" i="28"/>
  <c r="V177" i="28" s="1"/>
  <c r="U176" i="28"/>
  <c r="V176" i="28" s="1"/>
  <c r="U144" i="28"/>
  <c r="V144" i="28" s="1"/>
  <c r="U195" i="28"/>
  <c r="V195" i="28" s="1"/>
  <c r="U128" i="28"/>
  <c r="V128" i="28" s="1"/>
  <c r="U167" i="28"/>
  <c r="V167" i="28" s="1"/>
  <c r="U203" i="28"/>
  <c r="V203" i="28" s="1"/>
  <c r="U171" i="28"/>
  <c r="V171" i="28" s="1"/>
  <c r="U155" i="28"/>
  <c r="V155" i="28" s="1"/>
  <c r="U136" i="28"/>
  <c r="V136" i="28" s="1"/>
  <c r="U169" i="28"/>
  <c r="V169" i="28" s="1"/>
  <c r="U198" i="28"/>
  <c r="V198" i="28" s="1"/>
  <c r="U182" i="28"/>
  <c r="V182" i="28" s="1"/>
  <c r="U199" i="28"/>
  <c r="V199" i="28" s="1"/>
  <c r="U183" i="28"/>
  <c r="V183" i="28" s="1"/>
  <c r="U200" i="28"/>
  <c r="V200" i="28" s="1"/>
  <c r="U186" i="28"/>
  <c r="V186" i="28" s="1"/>
  <c r="U168" i="28"/>
  <c r="V168" i="28" s="1"/>
  <c r="U129" i="28"/>
  <c r="V129" i="28" s="1"/>
  <c r="U189" i="28"/>
  <c r="V189" i="28" s="1"/>
  <c r="U174" i="28"/>
  <c r="V174" i="28" s="1"/>
  <c r="U157" i="28"/>
  <c r="V157" i="28" s="1"/>
  <c r="U141" i="28"/>
  <c r="V141" i="28" s="1"/>
  <c r="U147" i="28"/>
  <c r="V147" i="28" s="1"/>
  <c r="U160" i="28"/>
  <c r="V160" i="28" s="1"/>
  <c r="U150" i="28"/>
  <c r="V150" i="28" s="1"/>
  <c r="U139" i="28"/>
  <c r="V139" i="28" s="1"/>
  <c r="U152" i="28"/>
  <c r="V152" i="28" s="1"/>
  <c r="U188" i="28"/>
  <c r="V188" i="28" s="1"/>
  <c r="U173" i="28"/>
  <c r="V173" i="28" s="1"/>
  <c r="U156" i="28"/>
  <c r="V156" i="28" s="1"/>
  <c r="U140" i="28"/>
  <c r="V140" i="28" s="1"/>
  <c r="U126" i="28"/>
  <c r="V126" i="28" s="1"/>
  <c r="U131" i="28"/>
  <c r="V131" i="28" s="1"/>
  <c r="U191" i="28"/>
  <c r="V191" i="28" s="1"/>
  <c r="U172" i="28"/>
  <c r="V172" i="28" s="1"/>
  <c r="U159" i="28"/>
  <c r="V159" i="28" s="1"/>
  <c r="U143" i="28"/>
  <c r="V143" i="28" s="1"/>
  <c r="U179" i="28"/>
  <c r="V179" i="28" s="1"/>
  <c r="U162" i="28"/>
  <c r="V162" i="28" s="1"/>
  <c r="U193" i="28"/>
  <c r="V193" i="28" s="1"/>
  <c r="U145" i="28"/>
  <c r="V145" i="28" s="1"/>
  <c r="U170" i="28"/>
  <c r="V170" i="28" s="1"/>
  <c r="U201" i="28"/>
  <c r="V201" i="28" s="1"/>
  <c r="U185" i="28"/>
  <c r="V185" i="28" s="1"/>
  <c r="U153" i="28"/>
  <c r="V153" i="28" s="1"/>
  <c r="U137" i="28"/>
  <c r="V137" i="28" s="1"/>
  <c r="U151" i="28"/>
  <c r="V151" i="28" s="1"/>
  <c r="U187" i="28"/>
  <c r="V187" i="28" s="1"/>
  <c r="U184" i="28"/>
  <c r="V184" i="28" s="1"/>
  <c r="U202" i="28"/>
  <c r="V202" i="28" s="1"/>
  <c r="U133" i="28"/>
  <c r="V133" i="28" s="1"/>
  <c r="U190" i="28"/>
  <c r="V190" i="28" s="1"/>
  <c r="U175" i="28"/>
  <c r="V175" i="28" s="1"/>
  <c r="U158" i="28"/>
  <c r="V158" i="28" s="1"/>
  <c r="U142" i="28"/>
  <c r="V142" i="28" s="1"/>
  <c r="U161" i="28"/>
  <c r="V161" i="28" s="1"/>
  <c r="U192" i="28"/>
  <c r="V192" i="28" s="1"/>
  <c r="U135" i="28"/>
  <c r="V135" i="28" s="1"/>
  <c r="N31" i="24"/>
  <c r="N51" i="24"/>
  <c r="N45" i="24"/>
  <c r="N142" i="24"/>
  <c r="N141" i="24"/>
  <c r="N53" i="24"/>
  <c r="N64" i="24"/>
  <c r="N195" i="24"/>
  <c r="N144" i="24"/>
  <c r="N33" i="24"/>
  <c r="N143" i="24"/>
  <c r="N52" i="24"/>
  <c r="N32" i="24"/>
  <c r="N44" i="24"/>
  <c r="N43" i="24"/>
  <c r="N62" i="24"/>
  <c r="N193" i="24"/>
  <c r="N61" i="24"/>
  <c r="N41" i="24"/>
  <c r="N63" i="24"/>
  <c r="N42" i="24"/>
  <c r="N192" i="24"/>
  <c r="N55" i="24"/>
  <c r="N35" i="24"/>
  <c r="N194" i="24"/>
  <c r="N145" i="24"/>
  <c r="N54" i="24"/>
  <c r="N34" i="24"/>
  <c r="N56" i="24"/>
  <c r="N46" i="24"/>
  <c r="N36" i="24"/>
  <c r="N140" i="24"/>
  <c r="N60" i="24"/>
  <c r="N50" i="24"/>
  <c r="N40" i="24"/>
  <c r="N59" i="24"/>
  <c r="N49" i="24"/>
  <c r="N39" i="24"/>
  <c r="N58" i="24"/>
  <c r="N48" i="24"/>
  <c r="N38" i="24"/>
  <c r="N57" i="24"/>
  <c r="N47" i="24"/>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2" i="21"/>
  <c r="M99" i="21"/>
  <c r="F40" i="2"/>
  <c r="G40" i="2" l="1"/>
  <c r="H40" i="2" s="1"/>
  <c r="M100" i="21" a="1"/>
  <c r="M100" i="21" s="1"/>
  <c r="L118" i="28"/>
  <c r="M118" i="28" s="1"/>
  <c r="L73" i="28"/>
  <c r="M73" i="28" s="1"/>
  <c r="F99" i="21"/>
  <c r="G99" i="21"/>
  <c r="H99" i="21"/>
  <c r="I99" i="21"/>
  <c r="J99" i="21"/>
  <c r="K99" i="21"/>
  <c r="L99" i="21"/>
  <c r="N99" i="21"/>
  <c r="O99" i="21"/>
  <c r="P99" i="21"/>
  <c r="Q99" i="21"/>
  <c r="R99" i="21"/>
  <c r="S99" i="21"/>
  <c r="T99" i="21"/>
  <c r="U99" i="21"/>
  <c r="V99" i="21"/>
  <c r="W99" i="21"/>
  <c r="X99" i="21"/>
  <c r="Y99" i="21"/>
  <c r="Z99" i="21"/>
  <c r="AA99" i="21"/>
  <c r="AB99" i="21"/>
  <c r="AC99" i="21"/>
  <c r="AD99" i="21"/>
  <c r="AE99" i="21"/>
  <c r="AF99" i="21"/>
  <c r="AG99" i="21"/>
  <c r="AH99" i="21"/>
  <c r="AI99" i="21"/>
  <c r="AJ99" i="21"/>
  <c r="AK99" i="21"/>
  <c r="AL99" i="21"/>
  <c r="AM99" i="21"/>
  <c r="AN99" i="21"/>
  <c r="AO99" i="21"/>
  <c r="AP99" i="21"/>
  <c r="AQ99" i="21"/>
  <c r="AR99" i="21"/>
  <c r="AS99" i="21"/>
  <c r="AT99" i="21"/>
  <c r="AU99" i="21"/>
  <c r="AV99" i="21"/>
  <c r="AW99" i="21"/>
  <c r="AX99" i="21"/>
  <c r="AY99" i="21"/>
  <c r="AZ99" i="21"/>
  <c r="BA99" i="21"/>
  <c r="BB99" i="21"/>
  <c r="BC99" i="21"/>
  <c r="BD99" i="21"/>
  <c r="BE99" i="21"/>
  <c r="BF99" i="21"/>
  <c r="BG99" i="21"/>
  <c r="BH99" i="21"/>
  <c r="BI99" i="21"/>
  <c r="BI100" i="21" s="1" a="1"/>
  <c r="BI100" i="21" s="1"/>
  <c r="BK99" i="21"/>
  <c r="B100" i="21" a="1"/>
  <c r="B100" i="21" s="1"/>
  <c r="E223" i="28" l="1"/>
  <c r="E217" i="28"/>
  <c r="E218" i="28"/>
  <c r="E219" i="28"/>
  <c r="E220" i="28"/>
  <c r="F223" i="28" l="1"/>
  <c r="G220" i="28"/>
  <c r="G223" i="28"/>
  <c r="M280" i="26"/>
  <c r="M6" i="26"/>
  <c r="M10" i="26"/>
  <c r="M281" i="26"/>
  <c r="M282" i="26"/>
  <c r="M283" i="26"/>
  <c r="M29" i="26"/>
  <c r="M30" i="26"/>
  <c r="M31" i="26"/>
  <c r="M44" i="26"/>
  <c r="M284" i="26"/>
  <c r="M285" i="26"/>
  <c r="M286" i="26"/>
  <c r="M287" i="26"/>
  <c r="M96" i="26"/>
  <c r="M288" i="26"/>
  <c r="M289" i="26"/>
  <c r="M290" i="26"/>
  <c r="M102" i="26"/>
  <c r="M103" i="26"/>
  <c r="M104" i="26"/>
  <c r="M291" i="26"/>
  <c r="M292" i="26"/>
  <c r="M293" i="26"/>
  <c r="M294" i="26"/>
  <c r="M295" i="26"/>
  <c r="M296" i="26"/>
  <c r="M297" i="26"/>
  <c r="M298" i="26"/>
  <c r="M300" i="26"/>
  <c r="M302" i="26"/>
  <c r="M303" i="26"/>
  <c r="M304" i="26"/>
  <c r="M247" i="26"/>
  <c r="M305" i="26"/>
  <c r="M306" i="26"/>
  <c r="M307" i="26"/>
  <c r="M254" i="26"/>
  <c r="M257" i="26"/>
  <c r="M258" i="26"/>
  <c r="M269" i="26"/>
  <c r="M270" i="26"/>
  <c r="I280" i="26"/>
  <c r="I6" i="26"/>
  <c r="I7" i="26"/>
  <c r="I8" i="26"/>
  <c r="I9" i="26"/>
  <c r="I10" i="26"/>
  <c r="I11" i="26"/>
  <c r="I12" i="26"/>
  <c r="I13" i="26"/>
  <c r="I14" i="26"/>
  <c r="I15" i="26"/>
  <c r="I16" i="26"/>
  <c r="I17" i="26"/>
  <c r="I19" i="26"/>
  <c r="I20" i="26"/>
  <c r="I21" i="26"/>
  <c r="I22" i="26"/>
  <c r="I23" i="26"/>
  <c r="I24" i="26"/>
  <c r="I25" i="26"/>
  <c r="I26" i="26"/>
  <c r="I27" i="26"/>
  <c r="I281" i="26"/>
  <c r="I28" i="26"/>
  <c r="I282" i="26"/>
  <c r="I283" i="26"/>
  <c r="I29" i="26"/>
  <c r="I30" i="26"/>
  <c r="I31" i="26"/>
  <c r="I32" i="26"/>
  <c r="I33" i="26"/>
  <c r="I34" i="26"/>
  <c r="I35" i="26"/>
  <c r="I36" i="26"/>
  <c r="I37" i="26"/>
  <c r="I38" i="26"/>
  <c r="I39" i="26"/>
  <c r="I40" i="26"/>
  <c r="I41" i="26"/>
  <c r="I42" i="26"/>
  <c r="I43" i="26"/>
  <c r="I44" i="26"/>
  <c r="I45" i="26"/>
  <c r="I46" i="26"/>
  <c r="I47" i="26"/>
  <c r="I48" i="26"/>
  <c r="I49" i="26"/>
  <c r="I50" i="26"/>
  <c r="I284" i="26"/>
  <c r="I51" i="26"/>
  <c r="I52" i="26"/>
  <c r="I53" i="26"/>
  <c r="I54" i="26"/>
  <c r="I55" i="26"/>
  <c r="I56" i="26"/>
  <c r="I57" i="26"/>
  <c r="I58" i="26"/>
  <c r="I59" i="26"/>
  <c r="I60" i="26"/>
  <c r="I61" i="26"/>
  <c r="I62" i="26"/>
  <c r="I63" i="26"/>
  <c r="I64" i="26"/>
  <c r="I65" i="26"/>
  <c r="I66" i="26"/>
  <c r="I67" i="26"/>
  <c r="I285" i="26"/>
  <c r="I68" i="26"/>
  <c r="I69" i="26"/>
  <c r="I70" i="26"/>
  <c r="I71" i="26"/>
  <c r="I72" i="26"/>
  <c r="I73" i="26"/>
  <c r="I74" i="26"/>
  <c r="I75" i="26"/>
  <c r="I76" i="26"/>
  <c r="I77" i="26"/>
  <c r="I78" i="26"/>
  <c r="I79" i="26"/>
  <c r="I80" i="26"/>
  <c r="I81" i="26"/>
  <c r="I82" i="26"/>
  <c r="I83" i="26"/>
  <c r="I84" i="26"/>
  <c r="I85" i="26"/>
  <c r="I86" i="26"/>
  <c r="I87" i="26"/>
  <c r="I286" i="26"/>
  <c r="I88" i="26"/>
  <c r="I89" i="26"/>
  <c r="I90" i="26"/>
  <c r="I91" i="26"/>
  <c r="I92" i="26"/>
  <c r="I93" i="26"/>
  <c r="I287" i="26"/>
  <c r="I94" i="26"/>
  <c r="I95" i="26"/>
  <c r="I96" i="26"/>
  <c r="I97" i="26"/>
  <c r="I98" i="26"/>
  <c r="I288" i="26"/>
  <c r="I99" i="26"/>
  <c r="I100" i="26"/>
  <c r="I289" i="26"/>
  <c r="I101" i="26"/>
  <c r="I290" i="26"/>
  <c r="I102" i="26"/>
  <c r="I103" i="26"/>
  <c r="I104" i="26"/>
  <c r="I291" i="26"/>
  <c r="I105" i="26"/>
  <c r="I106" i="26"/>
  <c r="I107" i="26"/>
  <c r="I108" i="26"/>
  <c r="I109" i="26"/>
  <c r="I110" i="26"/>
  <c r="I111" i="26"/>
  <c r="I112" i="26"/>
  <c r="I113" i="26"/>
  <c r="I114" i="26"/>
  <c r="I115" i="26"/>
  <c r="I116" i="26"/>
  <c r="I292" i="26"/>
  <c r="I117" i="26"/>
  <c r="I118" i="26"/>
  <c r="I119" i="26"/>
  <c r="I120" i="26"/>
  <c r="I121" i="26"/>
  <c r="I122" i="26"/>
  <c r="I123" i="26"/>
  <c r="I124" i="26"/>
  <c r="I125" i="26"/>
  <c r="I126" i="26"/>
  <c r="I127" i="26"/>
  <c r="I293" i="26"/>
  <c r="I128" i="26"/>
  <c r="I129" i="26"/>
  <c r="I130" i="26"/>
  <c r="I131" i="26"/>
  <c r="I132" i="26"/>
  <c r="I133" i="26"/>
  <c r="I134" i="26"/>
  <c r="I135" i="26"/>
  <c r="I294" i="26"/>
  <c r="I136" i="26"/>
  <c r="I137" i="26"/>
  <c r="I138" i="26"/>
  <c r="I139" i="26"/>
  <c r="I140" i="26"/>
  <c r="I141" i="26"/>
  <c r="I142" i="26"/>
  <c r="I143" i="26"/>
  <c r="I144" i="26"/>
  <c r="I145" i="26"/>
  <c r="I146" i="26"/>
  <c r="I147" i="26"/>
  <c r="I148" i="26"/>
  <c r="I149" i="26"/>
  <c r="I150" i="26"/>
  <c r="I151" i="26"/>
  <c r="I152" i="26"/>
  <c r="I153" i="26"/>
  <c r="I154" i="26"/>
  <c r="I155" i="26"/>
  <c r="I156" i="26"/>
  <c r="I157" i="26"/>
  <c r="I158" i="26"/>
  <c r="I159" i="26"/>
  <c r="I160" i="26"/>
  <c r="I161" i="26"/>
  <c r="I162" i="26"/>
  <c r="I163" i="26"/>
  <c r="I164" i="26"/>
  <c r="I165" i="26"/>
  <c r="I166" i="26"/>
  <c r="I167" i="26"/>
  <c r="I168" i="26"/>
  <c r="I295" i="26"/>
  <c r="I169" i="26"/>
  <c r="I170" i="26"/>
  <c r="I171" i="26"/>
  <c r="I172" i="26"/>
  <c r="I296" i="26"/>
  <c r="I297" i="26"/>
  <c r="I298" i="26"/>
  <c r="I173" i="26"/>
  <c r="I174" i="26"/>
  <c r="I175" i="26"/>
  <c r="I176" i="26"/>
  <c r="I177" i="26"/>
  <c r="I299" i="26"/>
  <c r="I178" i="26"/>
  <c r="I179" i="26"/>
  <c r="I180" i="26"/>
  <c r="I181" i="26"/>
  <c r="I182" i="26"/>
  <c r="I183" i="26"/>
  <c r="I184" i="26"/>
  <c r="I300" i="26"/>
  <c r="I185" i="26"/>
  <c r="I186" i="26"/>
  <c r="I187" i="26"/>
  <c r="I188" i="26"/>
  <c r="I189" i="26"/>
  <c r="I190" i="26"/>
  <c r="I191" i="26"/>
  <c r="I192" i="26"/>
  <c r="I193" i="26"/>
  <c r="I194" i="26"/>
  <c r="I195" i="26"/>
  <c r="I301" i="26"/>
  <c r="I196" i="26"/>
  <c r="I197" i="26"/>
  <c r="I198" i="26"/>
  <c r="I199" i="26"/>
  <c r="I302" i="26"/>
  <c r="I303" i="26"/>
  <c r="I200" i="26"/>
  <c r="I201" i="26"/>
  <c r="I202" i="26"/>
  <c r="I203" i="26"/>
  <c r="I204" i="26"/>
  <c r="I205" i="26"/>
  <c r="I206" i="26"/>
  <c r="I207" i="26"/>
  <c r="I208" i="26"/>
  <c r="I209" i="26"/>
  <c r="I210" i="26"/>
  <c r="I211" i="26"/>
  <c r="I212" i="26"/>
  <c r="I213" i="26"/>
  <c r="I214" i="26"/>
  <c r="I215" i="26"/>
  <c r="I216" i="26"/>
  <c r="I217" i="26"/>
  <c r="I218" i="26"/>
  <c r="I219" i="26"/>
  <c r="I220" i="26"/>
  <c r="I221" i="26"/>
  <c r="I222" i="26"/>
  <c r="I223" i="26"/>
  <c r="I224" i="26"/>
  <c r="I225" i="26"/>
  <c r="I226" i="26"/>
  <c r="I227" i="26"/>
  <c r="I228" i="26"/>
  <c r="I229" i="26"/>
  <c r="I230" i="26"/>
  <c r="I231" i="26"/>
  <c r="I232" i="26"/>
  <c r="I233" i="26"/>
  <c r="I234" i="26"/>
  <c r="I235" i="26"/>
  <c r="I236" i="26"/>
  <c r="I237" i="26"/>
  <c r="I304" i="26"/>
  <c r="I238" i="26"/>
  <c r="I239" i="26"/>
  <c r="I240" i="26"/>
  <c r="I241" i="26"/>
  <c r="I242" i="26"/>
  <c r="I243" i="26"/>
  <c r="I244" i="26"/>
  <c r="I245" i="26"/>
  <c r="I246" i="26"/>
  <c r="I247" i="26"/>
  <c r="I305" i="26"/>
  <c r="I248" i="26"/>
  <c r="I306" i="26"/>
  <c r="I249" i="26"/>
  <c r="I250" i="26"/>
  <c r="I251" i="26"/>
  <c r="I252" i="26"/>
  <c r="I253" i="26"/>
  <c r="I307" i="26"/>
  <c r="I254" i="26"/>
  <c r="I255" i="26"/>
  <c r="I256" i="26"/>
  <c r="I257" i="26"/>
  <c r="I258" i="26"/>
  <c r="I259" i="26"/>
  <c r="I260" i="26"/>
  <c r="I261" i="26"/>
  <c r="I262" i="26"/>
  <c r="I263" i="26"/>
  <c r="I264" i="26"/>
  <c r="I265" i="26"/>
  <c r="I266" i="26"/>
  <c r="I267" i="26"/>
  <c r="I268" i="26"/>
  <c r="I269" i="26"/>
  <c r="I270" i="26"/>
  <c r="I271" i="26"/>
  <c r="I18" i="26"/>
  <c r="I5" i="26"/>
  <c r="I4" i="26"/>
  <c r="I3" i="26"/>
  <c r="J281" i="26" l="1"/>
  <c r="J288" i="26"/>
  <c r="J10" i="26"/>
  <c r="J300" i="26"/>
  <c r="J257" i="26"/>
  <c r="J296" i="26"/>
  <c r="J287" i="26"/>
  <c r="J285" i="26"/>
  <c r="J254" i="26"/>
  <c r="J307" i="26"/>
  <c r="J258" i="26"/>
  <c r="J302" i="26"/>
  <c r="J297" i="26"/>
  <c r="J289" i="26"/>
  <c r="J286" i="26"/>
  <c r="J293" i="26"/>
  <c r="J298" i="26"/>
  <c r="J282" i="26"/>
  <c r="J303" i="26"/>
  <c r="J305" i="26"/>
  <c r="J292" i="26"/>
  <c r="J102" i="26"/>
  <c r="J29" i="26"/>
  <c r="J30" i="26"/>
  <c r="J283" i="26"/>
  <c r="J44" i="26"/>
  <c r="J291" i="26"/>
  <c r="J104" i="26"/>
  <c r="J31" i="26"/>
  <c r="J103" i="26"/>
  <c r="J247" i="26"/>
  <c r="J290" i="26"/>
  <c r="J295" i="26"/>
  <c r="J96" i="26"/>
  <c r="J6" i="26"/>
  <c r="J306" i="26"/>
  <c r="J270" i="26"/>
  <c r="J269" i="26"/>
  <c r="J284" i="26"/>
  <c r="J280" i="26"/>
  <c r="J294" i="26"/>
  <c r="J304" i="26"/>
  <c r="O79" i="27"/>
  <c r="C185" i="27" l="1"/>
  <c r="C170" i="27"/>
  <c r="C99" i="27"/>
  <c r="C88" i="27"/>
  <c r="C87" i="27"/>
  <c r="C86" i="27"/>
  <c r="C85" i="27"/>
  <c r="C84" i="27"/>
  <c r="C83" i="27"/>
  <c r="C82" i="27"/>
  <c r="C81" i="27"/>
  <c r="C80" i="27"/>
  <c r="C79" i="27"/>
  <c r="C74" i="27"/>
  <c r="B78" i="27" l="1"/>
  <c r="K78" i="27" s="1"/>
  <c r="B79" i="27"/>
  <c r="K79" i="27" s="1"/>
  <c r="B80" i="27"/>
  <c r="K80" i="27" s="1"/>
  <c r="B81" i="27"/>
  <c r="K81" i="27" s="1"/>
  <c r="B82" i="27"/>
  <c r="K82" i="27" s="1"/>
  <c r="B83" i="27"/>
  <c r="K83" i="27" s="1"/>
  <c r="B84" i="27"/>
  <c r="K84" i="27" s="1"/>
  <c r="B85" i="27"/>
  <c r="K85" i="27" s="1"/>
  <c r="B86" i="27"/>
  <c r="K86" i="27" s="1"/>
  <c r="B87" i="27"/>
  <c r="K87" i="27" s="1"/>
  <c r="B88" i="27"/>
  <c r="K88" i="27" s="1"/>
  <c r="B99" i="27"/>
  <c r="K99" i="27" s="1"/>
  <c r="B170" i="27"/>
  <c r="K170" i="27" s="1"/>
  <c r="B185" i="27"/>
  <c r="K185" i="27" s="1"/>
  <c r="K214" i="27"/>
  <c r="K215" i="27"/>
  <c r="B74" i="27"/>
  <c r="K74" i="27" s="1"/>
  <c r="L4" i="27"/>
  <c r="L79" i="27"/>
  <c r="L80" i="27"/>
  <c r="L99" i="27"/>
  <c r="L81" i="27"/>
  <c r="L170" i="27"/>
  <c r="L82" i="27"/>
  <c r="L3" i="27"/>
  <c r="L83" i="27"/>
  <c r="L84" i="27"/>
  <c r="L13" i="27"/>
  <c r="L10" i="27"/>
  <c r="L149" i="27"/>
  <c r="L144" i="27"/>
  <c r="L141" i="27"/>
  <c r="L136" i="27"/>
  <c r="L185" i="27"/>
  <c r="L85" i="27"/>
  <c r="L7" i="27"/>
  <c r="L29" i="27"/>
  <c r="L8" i="27"/>
  <c r="L15" i="27"/>
  <c r="L177" i="27"/>
  <c r="L157" i="27"/>
  <c r="L11" i="27"/>
  <c r="L41" i="27"/>
  <c r="L178" i="27"/>
  <c r="L34" i="27"/>
  <c r="L23" i="27"/>
  <c r="L76" i="27"/>
  <c r="L182" i="27"/>
  <c r="L67" i="27"/>
  <c r="L180" i="27"/>
  <c r="L164" i="27"/>
  <c r="L181" i="27"/>
  <c r="L42" i="27"/>
  <c r="L72" i="27"/>
  <c r="L49" i="27"/>
  <c r="L48" i="27"/>
  <c r="L121" i="27"/>
  <c r="L153" i="27"/>
  <c r="L159" i="27"/>
  <c r="L154" i="27"/>
  <c r="L37" i="27"/>
  <c r="L68" i="27"/>
  <c r="L47" i="27"/>
  <c r="L179" i="27"/>
  <c r="L162" i="27"/>
  <c r="L183" i="27"/>
  <c r="L122" i="27"/>
  <c r="L14" i="27"/>
  <c r="L156" i="27"/>
  <c r="L22" i="27"/>
  <c r="L160" i="27"/>
  <c r="L31" i="27"/>
  <c r="L155" i="27"/>
  <c r="L77" i="27"/>
  <c r="L92" i="27"/>
  <c r="L120" i="27"/>
  <c r="L168" i="27"/>
  <c r="L12" i="27"/>
  <c r="L43" i="27"/>
  <c r="L9" i="27"/>
  <c r="L35" i="27"/>
  <c r="L26" i="27"/>
  <c r="L59" i="27"/>
  <c r="L24" i="27"/>
  <c r="L166" i="27"/>
  <c r="L212" i="27"/>
  <c r="L213" i="27"/>
  <c r="L94" i="27"/>
  <c r="L113" i="27"/>
  <c r="L158" i="27"/>
  <c r="L25" i="27"/>
  <c r="L115" i="27"/>
  <c r="L69" i="27"/>
  <c r="L73" i="27"/>
  <c r="L175" i="27"/>
  <c r="L30" i="27"/>
  <c r="L70" i="27"/>
  <c r="L91" i="27"/>
  <c r="L86" i="27"/>
  <c r="L74" i="27"/>
  <c r="L40" i="27"/>
  <c r="L65" i="27"/>
  <c r="L116" i="27"/>
  <c r="L71" i="27"/>
  <c r="L93" i="27"/>
  <c r="L87" i="27"/>
  <c r="L88" i="27"/>
  <c r="L214" i="27"/>
  <c r="L215" i="27"/>
  <c r="O218" i="24"/>
  <c r="O217" i="24"/>
  <c r="O219" i="24"/>
  <c r="O216" i="24"/>
  <c r="O215" i="24"/>
  <c r="P216" i="24"/>
  <c r="O213" i="24"/>
  <c r="O210" i="24"/>
  <c r="O211" i="24"/>
  <c r="O212" i="24"/>
  <c r="O209" i="24"/>
  <c r="O208" i="24"/>
  <c r="Q6" i="24" l="1"/>
  <c r="Q7" i="24"/>
  <c r="Q8" i="24"/>
  <c r="Q9" i="24"/>
  <c r="Q10" i="24"/>
  <c r="R114" i="28" s="1"/>
  <c r="S114" i="28" s="1"/>
  <c r="Q11" i="24"/>
  <c r="Q12" i="24"/>
  <c r="Q13" i="24"/>
  <c r="Q14" i="24"/>
  <c r="Q15" i="24"/>
  <c r="Q16" i="24"/>
  <c r="Q17" i="24"/>
  <c r="Q18" i="24"/>
  <c r="Q19" i="24"/>
  <c r="Q20" i="24"/>
  <c r="Q21" i="24"/>
  <c r="Q22" i="24"/>
  <c r="Q23" i="24"/>
  <c r="Q24" i="24"/>
  <c r="Q25" i="24"/>
  <c r="Q26" i="24"/>
  <c r="Q27" i="24"/>
  <c r="Q28" i="24"/>
  <c r="Q29" i="24"/>
  <c r="Q30" i="24"/>
  <c r="Q31" i="24"/>
  <c r="Q32" i="24"/>
  <c r="Q33" i="24"/>
  <c r="Q34" i="24"/>
  <c r="Q35" i="24"/>
  <c r="Q36" i="24"/>
  <c r="Q37" i="24"/>
  <c r="Q38" i="24"/>
  <c r="Q39" i="24"/>
  <c r="Q40" i="24"/>
  <c r="Q41" i="24"/>
  <c r="Q42" i="24"/>
  <c r="Q43" i="24"/>
  <c r="Q44" i="24"/>
  <c r="Q45" i="24"/>
  <c r="Q46" i="24"/>
  <c r="Q47" i="24"/>
  <c r="Q48" i="24"/>
  <c r="Q49" i="24"/>
  <c r="Q50" i="24"/>
  <c r="Q51" i="24"/>
  <c r="Q52" i="24"/>
  <c r="Q53" i="24"/>
  <c r="Q54" i="24"/>
  <c r="Q55" i="24"/>
  <c r="Q56" i="24"/>
  <c r="Q57" i="24"/>
  <c r="Q58" i="24"/>
  <c r="Q59" i="24"/>
  <c r="Q60" i="24"/>
  <c r="Q61" i="24"/>
  <c r="Q62" i="24"/>
  <c r="Q63" i="24"/>
  <c r="Q64" i="24"/>
  <c r="Q65" i="24"/>
  <c r="Q66" i="24"/>
  <c r="Q67" i="24"/>
  <c r="Q68" i="24"/>
  <c r="Q69" i="24"/>
  <c r="Q70" i="24"/>
  <c r="Q71" i="24"/>
  <c r="Q72" i="24"/>
  <c r="Q73" i="24"/>
  <c r="Q74" i="24"/>
  <c r="Q75" i="24"/>
  <c r="Q76" i="24"/>
  <c r="Q77" i="24"/>
  <c r="Q78" i="24"/>
  <c r="Q79" i="24"/>
  <c r="Q80" i="24"/>
  <c r="Q81" i="24"/>
  <c r="Q82" i="24"/>
  <c r="Q83" i="24"/>
  <c r="Q84" i="24"/>
  <c r="R119" i="28" s="1"/>
  <c r="S119" i="28" s="1"/>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40" i="24"/>
  <c r="Q141" i="24"/>
  <c r="Q142" i="24"/>
  <c r="Q143" i="24"/>
  <c r="Q144" i="24"/>
  <c r="Q145" i="24"/>
  <c r="Q146" i="24"/>
  <c r="Q147" i="24"/>
  <c r="Q148" i="24"/>
  <c r="Q149" i="24"/>
  <c r="Q150" i="24"/>
  <c r="Q151" i="24"/>
  <c r="Q152" i="24"/>
  <c r="Q153" i="24"/>
  <c r="R58" i="28" s="1"/>
  <c r="S58" i="28" s="1"/>
  <c r="Q154" i="24"/>
  <c r="R123" i="28" s="1"/>
  <c r="S123" i="28" s="1"/>
  <c r="Q155" i="24"/>
  <c r="Q156" i="24"/>
  <c r="Q157" i="24"/>
  <c r="Q158" i="24"/>
  <c r="Q159" i="24"/>
  <c r="Q160" i="24"/>
  <c r="Q161" i="24"/>
  <c r="Q162" i="24"/>
  <c r="Q163" i="24"/>
  <c r="Q164" i="24"/>
  <c r="Q165" i="24"/>
  <c r="Q166" i="24"/>
  <c r="Q167" i="24"/>
  <c r="Q168" i="24"/>
  <c r="Q169" i="24"/>
  <c r="Q170" i="24"/>
  <c r="Q171" i="24"/>
  <c r="Q172" i="24"/>
  <c r="Q173" i="24"/>
  <c r="Q174" i="24"/>
  <c r="Q175" i="24"/>
  <c r="Q176" i="24"/>
  <c r="Q177" i="24"/>
  <c r="Q178" i="24"/>
  <c r="Q179" i="24"/>
  <c r="Q180" i="24"/>
  <c r="R121" i="28" s="1"/>
  <c r="S121" i="28" s="1"/>
  <c r="Q181" i="24"/>
  <c r="Q182" i="24"/>
  <c r="Q183" i="24"/>
  <c r="Q184" i="24"/>
  <c r="Q185" i="24"/>
  <c r="R59" i="28" s="1"/>
  <c r="S59" i="28" s="1"/>
  <c r="Q186" i="24"/>
  <c r="Q187" i="24"/>
  <c r="Q188" i="24"/>
  <c r="Q189" i="24"/>
  <c r="Q190" i="24"/>
  <c r="Q191" i="24"/>
  <c r="Q192" i="24"/>
  <c r="R118" i="28" s="1"/>
  <c r="S118" i="28" s="1"/>
  <c r="Q193" i="24"/>
  <c r="Q194" i="24"/>
  <c r="Q195" i="24"/>
  <c r="Q5" i="24"/>
  <c r="Q201" i="24"/>
  <c r="Q202" i="24"/>
  <c r="Q203" i="24"/>
  <c r="R91" i="28" s="1"/>
  <c r="S91" i="28" s="1"/>
  <c r="Q204" i="24"/>
  <c r="Q205" i="24"/>
  <c r="P135" i="24"/>
  <c r="P136" i="24"/>
  <c r="P137" i="24"/>
  <c r="P138" i="24"/>
  <c r="P139" i="24"/>
  <c r="P197" i="24"/>
  <c r="P198" i="24"/>
  <c r="P199" i="24"/>
  <c r="P200" i="24"/>
  <c r="P201" i="24"/>
  <c r="P202" i="24"/>
  <c r="P203" i="24"/>
  <c r="P204" i="24"/>
  <c r="P205" i="24"/>
  <c r="P196" i="24"/>
  <c r="P122" i="28" s="1"/>
  <c r="Q122" i="28" s="1"/>
  <c r="O205" i="24"/>
  <c r="O204" i="24"/>
  <c r="O203" i="24"/>
  <c r="G44" i="2"/>
  <c r="H44" i="2" s="1"/>
  <c r="O202" i="24"/>
  <c r="O201" i="24"/>
  <c r="R115" i="28" l="1"/>
  <c r="S115" i="28" s="1"/>
  <c r="R117" i="28"/>
  <c r="S117" i="28" s="1"/>
  <c r="R96" i="28"/>
  <c r="S96" i="28" s="1"/>
  <c r="R34" i="28"/>
  <c r="S34" i="28" s="1"/>
  <c r="R100" i="28"/>
  <c r="S100" i="28" s="1"/>
  <c r="R94" i="28"/>
  <c r="S94" i="28" s="1"/>
  <c r="R93" i="28"/>
  <c r="S93" i="28" s="1"/>
  <c r="R78" i="28"/>
  <c r="S78" i="28" s="1"/>
  <c r="R95" i="28"/>
  <c r="S95" i="28" s="1"/>
  <c r="R27" i="28"/>
  <c r="S27" i="28" s="1"/>
  <c r="R8" i="28"/>
  <c r="S8" i="28" s="1"/>
  <c r="R98" i="28"/>
  <c r="S98" i="28" s="1"/>
  <c r="R61" i="28"/>
  <c r="S61" i="28" s="1"/>
  <c r="R84" i="28"/>
  <c r="S84" i="28" s="1"/>
  <c r="R32" i="28"/>
  <c r="S32" i="28" s="1"/>
  <c r="R81" i="28"/>
  <c r="S81" i="28" s="1"/>
  <c r="R49" i="28"/>
  <c r="S49" i="28" s="1"/>
  <c r="R39" i="28"/>
  <c r="S39" i="28" s="1"/>
  <c r="R69" i="28"/>
  <c r="S69" i="28" s="1"/>
  <c r="R71" i="28"/>
  <c r="S71" i="28" s="1"/>
  <c r="R56" i="28"/>
  <c r="S56" i="28" s="1"/>
  <c r="R31" i="28"/>
  <c r="S31" i="28" s="1"/>
  <c r="R37" i="28"/>
  <c r="S37" i="28" s="1"/>
  <c r="R105" i="28"/>
  <c r="S105" i="28" s="1"/>
  <c r="R76" i="28"/>
  <c r="S76" i="28" s="1"/>
  <c r="R13" i="28"/>
  <c r="S13" i="28" s="1"/>
  <c r="R79" i="28"/>
  <c r="S79" i="28" s="1"/>
  <c r="R80" i="28"/>
  <c r="S80" i="28" s="1"/>
  <c r="R50" i="28"/>
  <c r="S50" i="28" s="1"/>
  <c r="R30" i="28"/>
  <c r="S30" i="28" s="1"/>
  <c r="R83" i="28"/>
  <c r="S83" i="28" s="1"/>
  <c r="R19" i="28"/>
  <c r="S19" i="28" s="1"/>
  <c r="R88" i="28"/>
  <c r="S88" i="28" s="1"/>
  <c r="R112" i="28"/>
  <c r="S112" i="28" s="1"/>
  <c r="R53" i="28"/>
  <c r="S53" i="28" s="1"/>
  <c r="R48" i="28"/>
  <c r="S48" i="28" s="1"/>
  <c r="R110" i="28"/>
  <c r="S110" i="28" s="1"/>
  <c r="R54" i="28"/>
  <c r="S54" i="28" s="1"/>
  <c r="R25" i="28"/>
  <c r="S25" i="28" s="1"/>
  <c r="R28" i="28"/>
  <c r="S28" i="28" s="1"/>
  <c r="R14" i="28"/>
  <c r="S14" i="28" s="1"/>
  <c r="R97" i="28"/>
  <c r="S97" i="28" s="1"/>
  <c r="R20" i="28"/>
  <c r="S20" i="28" s="1"/>
  <c r="R87" i="28"/>
  <c r="S87" i="28" s="1"/>
  <c r="R15" i="28"/>
  <c r="S15" i="28" s="1"/>
  <c r="R22" i="28"/>
  <c r="S22" i="28" s="1"/>
  <c r="R86" i="28"/>
  <c r="S86" i="28" s="1"/>
  <c r="R29" i="28"/>
  <c r="S29" i="28" s="1"/>
  <c r="R47" i="28"/>
  <c r="S47" i="28" s="1"/>
  <c r="R55" i="28"/>
  <c r="S55" i="28" s="1"/>
  <c r="R41" i="28"/>
  <c r="S41" i="28" s="1"/>
  <c r="R82" i="28"/>
  <c r="S82" i="28" s="1"/>
  <c r="R23" i="28"/>
  <c r="S23" i="28" s="1"/>
  <c r="R92" i="28"/>
  <c r="S92" i="28" s="1"/>
  <c r="R43" i="28"/>
  <c r="S43" i="28" s="1"/>
  <c r="R21" i="28"/>
  <c r="S21" i="28" s="1"/>
  <c r="R74" i="28"/>
  <c r="S74" i="28" s="1"/>
  <c r="R70" i="28"/>
  <c r="S70" i="28" s="1"/>
  <c r="R120" i="28"/>
  <c r="S120" i="28" s="1"/>
  <c r="R67" i="28"/>
  <c r="S67" i="28" s="1"/>
  <c r="R72" i="28"/>
  <c r="S72" i="28" s="1"/>
  <c r="R85" i="28"/>
  <c r="S85" i="28" s="1"/>
  <c r="R33" i="28"/>
  <c r="S33" i="28" s="1"/>
  <c r="R60" i="28"/>
  <c r="S60" i="28" s="1"/>
  <c r="R35" i="28"/>
  <c r="S35" i="28" s="1"/>
  <c r="R26" i="28"/>
  <c r="S26" i="28" s="1"/>
  <c r="R62" i="28"/>
  <c r="S62" i="28" s="1"/>
  <c r="R52" i="28"/>
  <c r="S52" i="28" s="1"/>
  <c r="R66" i="28"/>
  <c r="S66" i="28" s="1"/>
  <c r="R24" i="28"/>
  <c r="S24" i="28" s="1"/>
  <c r="R16" i="28"/>
  <c r="S16" i="28" s="1"/>
  <c r="R46" i="28"/>
  <c r="S46" i="28" s="1"/>
  <c r="R90" i="28"/>
  <c r="S90" i="28" s="1"/>
  <c r="R99" i="28"/>
  <c r="S99" i="28" s="1"/>
  <c r="R44" i="28"/>
  <c r="S44" i="28" s="1"/>
  <c r="R57" i="28"/>
  <c r="S57" i="28" s="1"/>
  <c r="R36" i="28"/>
  <c r="S36" i="28" s="1"/>
  <c r="R65" i="28"/>
  <c r="S65" i="28" s="1"/>
  <c r="R40" i="28"/>
  <c r="S40" i="28" s="1"/>
  <c r="R64" i="28"/>
  <c r="S64" i="28" s="1"/>
  <c r="R51" i="28"/>
  <c r="S51" i="28" s="1"/>
  <c r="R73" i="28"/>
  <c r="S73" i="28" s="1"/>
  <c r="R18" i="28"/>
  <c r="S18" i="28" s="1"/>
  <c r="O200" i="24"/>
  <c r="O197" i="24"/>
  <c r="O198" i="24"/>
  <c r="O199" i="24"/>
  <c r="N116" i="28" s="1"/>
  <c r="O116" i="28" s="1"/>
  <c r="O196" i="24"/>
  <c r="N122" i="28" s="1"/>
  <c r="O122" i="28" s="1"/>
  <c r="X37" i="24"/>
  <c r="Q197" i="24" l="1"/>
  <c r="Q198" i="24"/>
  <c r="R111" i="28" s="1"/>
  <c r="S111" i="28" s="1"/>
  <c r="Q199" i="24"/>
  <c r="R12" i="28" s="1"/>
  <c r="S12" i="28" s="1"/>
  <c r="Q200" i="24"/>
  <c r="R42" i="28" s="1"/>
  <c r="S42" i="28" s="1"/>
  <c r="Q196" i="24"/>
  <c r="A53" i="1"/>
  <c r="A54" i="1"/>
  <c r="A55" i="1"/>
  <c r="A56" i="1"/>
  <c r="A57" i="1"/>
  <c r="A58" i="1"/>
  <c r="A2" i="1"/>
  <c r="A3" i="1"/>
  <c r="A59" i="1"/>
  <c r="A60" i="1"/>
  <c r="A61" i="1"/>
  <c r="A62" i="1"/>
  <c r="A4" i="1"/>
  <c r="A5" i="1"/>
  <c r="A6" i="1"/>
  <c r="A63" i="1"/>
  <c r="A64" i="1"/>
  <c r="A7" i="1"/>
  <c r="A65" i="1"/>
  <c r="A66" i="1"/>
  <c r="A67" i="1"/>
  <c r="A68" i="1"/>
  <c r="A69" i="1"/>
  <c r="A70" i="1"/>
  <c r="A71" i="1"/>
  <c r="A72" i="1"/>
  <c r="A73" i="1"/>
  <c r="A74" i="1"/>
  <c r="A75" i="1"/>
  <c r="A8" i="1"/>
  <c r="A9" i="1"/>
  <c r="A10" i="1"/>
  <c r="A76" i="1"/>
  <c r="A77" i="1"/>
  <c r="A11" i="1"/>
  <c r="A78" i="1"/>
  <c r="A12" i="1"/>
  <c r="A13" i="1"/>
  <c r="A14" i="1"/>
  <c r="A79" i="1"/>
  <c r="A15" i="1"/>
  <c r="A80" i="1"/>
  <c r="A16" i="1"/>
  <c r="A81" i="1"/>
  <c r="A82" i="1"/>
  <c r="A17" i="1"/>
  <c r="A83" i="1"/>
  <c r="A18" i="1"/>
  <c r="A84" i="1"/>
  <c r="A19" i="1"/>
  <c r="A20" i="1"/>
  <c r="A85" i="1"/>
  <c r="A86" i="1"/>
  <c r="A87" i="1"/>
  <c r="A21" i="1"/>
  <c r="A22" i="1"/>
  <c r="A88" i="1"/>
  <c r="A89" i="1"/>
  <c r="A23" i="1"/>
  <c r="A90" i="1"/>
  <c r="A91" i="1"/>
  <c r="A92" i="1"/>
  <c r="A93" i="1"/>
  <c r="A24" i="1"/>
  <c r="A94" i="1"/>
  <c r="A95" i="1"/>
  <c r="A25" i="1"/>
  <c r="A26" i="1"/>
  <c r="A96" i="1"/>
  <c r="A97" i="1"/>
  <c r="A98" i="1"/>
  <c r="A99" i="1"/>
  <c r="A100" i="1"/>
  <c r="A27" i="1"/>
  <c r="A28" i="1"/>
  <c r="A101" i="1"/>
  <c r="A102" i="1"/>
  <c r="A103" i="1"/>
  <c r="A104" i="1"/>
  <c r="A105" i="1"/>
  <c r="A106" i="1"/>
  <c r="A107" i="1"/>
  <c r="A108" i="1"/>
  <c r="A109" i="1"/>
  <c r="A110" i="1"/>
  <c r="A111" i="1"/>
  <c r="A112" i="1"/>
  <c r="A29" i="1"/>
  <c r="A30" i="1"/>
  <c r="A31" i="1"/>
  <c r="A113" i="1"/>
  <c r="A32" i="1"/>
  <c r="A114" i="1"/>
  <c r="A115" i="1"/>
  <c r="A116" i="1"/>
  <c r="A117" i="1"/>
  <c r="A33" i="1"/>
  <c r="A118" i="1"/>
  <c r="A119" i="1"/>
  <c r="A120" i="1"/>
  <c r="A121" i="1"/>
  <c r="A122" i="1"/>
  <c r="A123" i="1"/>
  <c r="A34" i="1"/>
  <c r="A35" i="1"/>
  <c r="A124" i="1"/>
  <c r="A36" i="1"/>
  <c r="A125" i="1"/>
  <c r="A126" i="1"/>
  <c r="A127" i="1"/>
  <c r="A128" i="1"/>
  <c r="A129" i="1"/>
  <c r="A130" i="1"/>
  <c r="A131" i="1"/>
  <c r="A132" i="1"/>
  <c r="A133" i="1"/>
  <c r="A134" i="1"/>
  <c r="A135" i="1"/>
  <c r="A136" i="1"/>
  <c r="A137" i="1"/>
  <c r="A138" i="1"/>
  <c r="A139" i="1"/>
  <c r="A140" i="1"/>
  <c r="A37" i="1"/>
  <c r="A141" i="1"/>
  <c r="A142" i="1"/>
  <c r="A143" i="1"/>
  <c r="A144" i="1"/>
  <c r="A145" i="1"/>
  <c r="A146" i="1"/>
  <c r="A147" i="1"/>
  <c r="A148" i="1"/>
  <c r="A38" i="1"/>
  <c r="A149" i="1"/>
  <c r="A150" i="1"/>
  <c r="A39" i="1"/>
  <c r="A151" i="1"/>
  <c r="A152" i="1"/>
  <c r="A40" i="1"/>
  <c r="A41" i="1"/>
  <c r="A42" i="1"/>
  <c r="A43" i="1"/>
  <c r="A153" i="1"/>
  <c r="A44" i="1"/>
  <c r="A154" i="1"/>
  <c r="A155" i="1"/>
  <c r="A45" i="1"/>
  <c r="A156" i="1"/>
  <c r="A157" i="1"/>
  <c r="A158" i="1"/>
  <c r="A46"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47" i="1"/>
  <c r="A198" i="1"/>
  <c r="A48" i="1"/>
  <c r="A199" i="1"/>
  <c r="A200" i="1"/>
  <c r="A201" i="1"/>
  <c r="A202" i="1"/>
  <c r="A203" i="1"/>
  <c r="A204" i="1"/>
  <c r="A205" i="1"/>
  <c r="A206" i="1"/>
  <c r="A207" i="1"/>
  <c r="A208" i="1"/>
  <c r="A209" i="1"/>
  <c r="A210" i="1"/>
  <c r="A211" i="1"/>
  <c r="A212" i="1"/>
  <c r="A213" i="1"/>
  <c r="A49" i="1"/>
  <c r="A214" i="1"/>
  <c r="A215" i="1"/>
  <c r="A216" i="1"/>
  <c r="A217" i="1"/>
  <c r="A218" i="1"/>
  <c r="A219" i="1"/>
  <c r="A220" i="1"/>
  <c r="A221" i="1"/>
  <c r="A222" i="1"/>
  <c r="A223" i="1"/>
  <c r="A224" i="1"/>
  <c r="A225" i="1"/>
  <c r="A226" i="1"/>
  <c r="A227" i="1"/>
  <c r="A228" i="1"/>
  <c r="A229" i="1"/>
  <c r="A230" i="1"/>
  <c r="A231" i="1"/>
  <c r="A232" i="1"/>
  <c r="A233" i="1"/>
  <c r="A234" i="1"/>
  <c r="A235" i="1"/>
  <c r="A50" i="1"/>
  <c r="A236" i="1"/>
  <c r="A51" i="1"/>
  <c r="A237" i="1"/>
  <c r="A52" i="1"/>
  <c r="O191" i="24"/>
  <c r="O190" i="24"/>
  <c r="O189" i="24"/>
  <c r="O63" i="24"/>
  <c r="O64" i="24"/>
  <c r="G52" i="2"/>
  <c r="H52" i="2" s="1"/>
  <c r="G42" i="2"/>
  <c r="G62" i="2"/>
  <c r="G29" i="2"/>
  <c r="G38" i="2"/>
  <c r="R122" i="28" l="1"/>
  <c r="S122" i="28" s="1"/>
  <c r="R10" i="28"/>
  <c r="S10" i="28" s="1"/>
  <c r="R116" i="28"/>
  <c r="S116" i="28" s="1"/>
  <c r="R45" i="28"/>
  <c r="S45" i="28" s="1"/>
  <c r="R38" i="28"/>
  <c r="S38" i="28" s="1"/>
  <c r="R113" i="28"/>
  <c r="S113" i="28" s="1"/>
  <c r="N10" i="28"/>
  <c r="O10" i="28" s="1"/>
  <c r="R63" i="28"/>
  <c r="S63" i="28" s="1"/>
  <c r="R68" i="28"/>
  <c r="S68" i="28" s="1"/>
  <c r="H29" i="2"/>
  <c r="H62" i="2"/>
  <c r="H42" i="2"/>
  <c r="H38" i="2"/>
  <c r="O134" i="24"/>
  <c r="O133" i="24"/>
  <c r="X36" i="24"/>
  <c r="Q135" i="24" l="1"/>
  <c r="Q136" i="24"/>
  <c r="Q137" i="24"/>
  <c r="Q138" i="24"/>
  <c r="Q139" i="24"/>
  <c r="O195" i="24"/>
  <c r="Y8" i="24"/>
  <c r="O188" i="24" s="1"/>
  <c r="O194" i="24"/>
  <c r="O193" i="24"/>
  <c r="O192" i="24"/>
  <c r="X27" i="24"/>
  <c r="X26" i="24"/>
  <c r="X25" i="24"/>
  <c r="X24" i="24"/>
  <c r="P222" i="24" s="1"/>
  <c r="Y13" i="24"/>
  <c r="Y14" i="24"/>
  <c r="Y11" i="24"/>
  <c r="Y7" i="24"/>
  <c r="R104" i="28" l="1"/>
  <c r="S104" i="28" s="1"/>
  <c r="R109" i="28"/>
  <c r="S109" i="28" s="1"/>
  <c r="R103" i="28"/>
  <c r="S103" i="28" s="1"/>
  <c r="R108" i="28"/>
  <c r="S108" i="28" s="1"/>
  <c r="R102" i="28"/>
  <c r="S102" i="28" s="1"/>
  <c r="R107" i="28"/>
  <c r="S107" i="28" s="1"/>
  <c r="R101" i="28"/>
  <c r="S101" i="28" s="1"/>
  <c r="R106" i="28"/>
  <c r="S106" i="28" s="1"/>
  <c r="R89" i="28"/>
  <c r="S89" i="28" s="1"/>
  <c r="R17" i="28"/>
  <c r="S17" i="28" s="1"/>
  <c r="R77" i="28"/>
  <c r="S77" i="28" s="1"/>
  <c r="R9" i="28"/>
  <c r="S9" i="28" s="1"/>
  <c r="R75" i="28"/>
  <c r="S75" i="28" s="1"/>
  <c r="R11" i="28"/>
  <c r="S11" i="28" s="1"/>
  <c r="N118" i="28"/>
  <c r="O118" i="28" s="1"/>
  <c r="N63" i="28"/>
  <c r="O63" i="28" s="1"/>
  <c r="N45" i="28"/>
  <c r="O45" i="28" s="1"/>
  <c r="N12" i="28"/>
  <c r="O12" i="28" s="1"/>
  <c r="P4" i="25"/>
  <c r="P3" i="25"/>
  <c r="P7" i="25"/>
  <c r="P6" i="25"/>
  <c r="P5" i="25"/>
  <c r="M5" i="24"/>
  <c r="M15" i="24"/>
  <c r="M25" i="24"/>
  <c r="M35" i="24"/>
  <c r="M45" i="24"/>
  <c r="M55" i="24"/>
  <c r="M145" i="24"/>
  <c r="M155" i="24"/>
  <c r="M165" i="24"/>
  <c r="M175" i="24"/>
  <c r="M185" i="24"/>
  <c r="M195" i="24"/>
  <c r="M48" i="24"/>
  <c r="M168" i="24"/>
  <c r="M159" i="24"/>
  <c r="M30" i="24"/>
  <c r="M170" i="24"/>
  <c r="M31" i="24"/>
  <c r="M161" i="24"/>
  <c r="M32" i="24"/>
  <c r="M162" i="24"/>
  <c r="M53" i="24"/>
  <c r="M6" i="24"/>
  <c r="M16" i="24"/>
  <c r="M26" i="24"/>
  <c r="M36" i="24"/>
  <c r="M46" i="24"/>
  <c r="M56" i="24"/>
  <c r="M146" i="24"/>
  <c r="M156" i="24"/>
  <c r="M166" i="24"/>
  <c r="M176" i="24"/>
  <c r="M186" i="24"/>
  <c r="M38" i="24"/>
  <c r="M188" i="24"/>
  <c r="M149" i="24"/>
  <c r="M189" i="24"/>
  <c r="M40" i="24"/>
  <c r="M140" i="24"/>
  <c r="M51" i="24"/>
  <c r="M151" i="24"/>
  <c r="M42" i="24"/>
  <c r="M182" i="24"/>
  <c r="M43" i="24"/>
  <c r="M7" i="24"/>
  <c r="M17" i="24"/>
  <c r="M27" i="24"/>
  <c r="M37" i="24"/>
  <c r="M47" i="24"/>
  <c r="J44" i="28" s="1"/>
  <c r="K44" i="28" s="1"/>
  <c r="M57" i="24"/>
  <c r="M147" i="24"/>
  <c r="M157" i="24"/>
  <c r="M167" i="24"/>
  <c r="M177" i="24"/>
  <c r="M187" i="24"/>
  <c r="M28" i="24"/>
  <c r="M158" i="24"/>
  <c r="M59" i="24"/>
  <c r="M169" i="24"/>
  <c r="M20" i="24"/>
  <c r="M60" i="24"/>
  <c r="M180" i="24"/>
  <c r="M11" i="24"/>
  <c r="M181" i="24"/>
  <c r="M22" i="24"/>
  <c r="M152" i="24"/>
  <c r="M63" i="24"/>
  <c r="M8" i="24"/>
  <c r="M18" i="24"/>
  <c r="M178" i="24"/>
  <c r="M50" i="24"/>
  <c r="M160" i="24"/>
  <c r="M41" i="24"/>
  <c r="M172" i="24"/>
  <c r="M23" i="24"/>
  <c r="M153" i="24"/>
  <c r="M193" i="24"/>
  <c r="M9" i="24"/>
  <c r="M19" i="24"/>
  <c r="M29" i="24"/>
  <c r="M39" i="24"/>
  <c r="M49" i="24"/>
  <c r="M150" i="24"/>
  <c r="M61" i="24"/>
  <c r="M141" i="24"/>
  <c r="M191" i="24"/>
  <c r="M62" i="24"/>
  <c r="M192" i="24"/>
  <c r="M33" i="24"/>
  <c r="M163" i="24"/>
  <c r="M183" i="24"/>
  <c r="M12" i="24"/>
  <c r="M143" i="24"/>
  <c r="M13" i="24"/>
  <c r="M14" i="24"/>
  <c r="M24" i="24"/>
  <c r="M34" i="24"/>
  <c r="M44" i="24"/>
  <c r="M54" i="24"/>
  <c r="M64" i="24"/>
  <c r="M144" i="24"/>
  <c r="M154" i="24"/>
  <c r="M164" i="24"/>
  <c r="M174" i="24"/>
  <c r="M184" i="24"/>
  <c r="M194" i="24"/>
  <c r="M58" i="24"/>
  <c r="M148" i="24"/>
  <c r="M179" i="24"/>
  <c r="M10" i="24"/>
  <c r="M190" i="24"/>
  <c r="M21" i="24"/>
  <c r="M171" i="24"/>
  <c r="M52" i="24"/>
  <c r="M142" i="24"/>
  <c r="M173" i="24"/>
  <c r="N7" i="24"/>
  <c r="N17" i="24"/>
  <c r="N27" i="24"/>
  <c r="N147" i="24"/>
  <c r="N157" i="24"/>
  <c r="N167" i="24"/>
  <c r="N177" i="24"/>
  <c r="N187" i="24"/>
  <c r="N153" i="24"/>
  <c r="N174" i="24"/>
  <c r="N175" i="24"/>
  <c r="N8" i="24"/>
  <c r="N18" i="24"/>
  <c r="N28" i="24"/>
  <c r="N148" i="24"/>
  <c r="N158" i="24"/>
  <c r="N168" i="24"/>
  <c r="N178" i="24"/>
  <c r="N188" i="24"/>
  <c r="N190" i="24"/>
  <c r="N23" i="24"/>
  <c r="N163" i="24"/>
  <c r="N154" i="24"/>
  <c r="L123" i="28" s="1"/>
  <c r="M123" i="28" s="1"/>
  <c r="N9" i="24"/>
  <c r="N19" i="24"/>
  <c r="N29" i="24"/>
  <c r="N149" i="24"/>
  <c r="N159" i="24"/>
  <c r="N169" i="24"/>
  <c r="N179" i="24"/>
  <c r="N189" i="24"/>
  <c r="N11" i="24"/>
  <c r="N183" i="24"/>
  <c r="N164" i="24"/>
  <c r="N10" i="24"/>
  <c r="N20" i="24"/>
  <c r="N30" i="24"/>
  <c r="N150" i="24"/>
  <c r="N160" i="24"/>
  <c r="N170" i="24"/>
  <c r="N180" i="24"/>
  <c r="L121" i="28" s="1"/>
  <c r="M121" i="28" s="1"/>
  <c r="N21" i="24"/>
  <c r="N151" i="24"/>
  <c r="N161" i="24"/>
  <c r="N191" i="24"/>
  <c r="N22" i="24"/>
  <c r="N152" i="24"/>
  <c r="N162" i="24"/>
  <c r="N182" i="24"/>
  <c r="N181" i="24"/>
  <c r="N12" i="24"/>
  <c r="N13" i="24"/>
  <c r="N184" i="24"/>
  <c r="L45" i="28" s="1"/>
  <c r="M45" i="28" s="1"/>
  <c r="N172" i="24"/>
  <c r="N24" i="24"/>
  <c r="N15" i="24"/>
  <c r="N14" i="24"/>
  <c r="N25" i="24"/>
  <c r="N155" i="24"/>
  <c r="N5" i="24"/>
  <c r="N165" i="24"/>
  <c r="N185" i="24"/>
  <c r="N6" i="24"/>
  <c r="N16" i="24"/>
  <c r="N26" i="24"/>
  <c r="N146" i="24"/>
  <c r="N156" i="24"/>
  <c r="N166" i="24"/>
  <c r="N176" i="24"/>
  <c r="L63" i="28" s="1"/>
  <c r="M63" i="28" s="1"/>
  <c r="N186" i="24"/>
  <c r="N171" i="24"/>
  <c r="N173" i="24"/>
  <c r="N137" i="24"/>
  <c r="N138" i="24"/>
  <c r="N135" i="24"/>
  <c r="N139" i="24"/>
  <c r="N136" i="24"/>
  <c r="N67" i="24"/>
  <c r="N77" i="24"/>
  <c r="N87" i="24"/>
  <c r="N97" i="24"/>
  <c r="N107" i="24"/>
  <c r="N117" i="24"/>
  <c r="N127" i="24"/>
  <c r="N84" i="24"/>
  <c r="N75" i="24"/>
  <c r="N68" i="24"/>
  <c r="N78" i="24"/>
  <c r="N88" i="24"/>
  <c r="N98" i="24"/>
  <c r="N108" i="24"/>
  <c r="N118" i="24"/>
  <c r="N128" i="24"/>
  <c r="N131" i="24"/>
  <c r="N102" i="24"/>
  <c r="N73" i="24"/>
  <c r="N103" i="24"/>
  <c r="N94" i="24"/>
  <c r="N114" i="24"/>
  <c r="N69" i="24"/>
  <c r="N79" i="24"/>
  <c r="N89" i="24"/>
  <c r="N99" i="24"/>
  <c r="N109" i="24"/>
  <c r="N119" i="24"/>
  <c r="N129" i="24"/>
  <c r="N121" i="24"/>
  <c r="N112" i="24"/>
  <c r="N93" i="24"/>
  <c r="N133" i="24"/>
  <c r="N115" i="24"/>
  <c r="N70" i="24"/>
  <c r="N80" i="24"/>
  <c r="N90" i="24"/>
  <c r="N100" i="24"/>
  <c r="N110" i="24"/>
  <c r="N120" i="24"/>
  <c r="N130" i="24"/>
  <c r="N81" i="24"/>
  <c r="N111" i="24"/>
  <c r="N82" i="24"/>
  <c r="L12" i="28" s="1"/>
  <c r="M12" i="28" s="1"/>
  <c r="N132" i="24"/>
  <c r="N91" i="24"/>
  <c r="N72" i="24"/>
  <c r="N122" i="24"/>
  <c r="N83" i="24"/>
  <c r="L88" i="28" s="1"/>
  <c r="M88" i="28" s="1"/>
  <c r="N123" i="24"/>
  <c r="N74" i="24"/>
  <c r="N104" i="24"/>
  <c r="N134" i="24"/>
  <c r="N65" i="24"/>
  <c r="N124" i="24"/>
  <c r="N125" i="24"/>
  <c r="L116" i="28" s="1"/>
  <c r="M116" i="28" s="1"/>
  <c r="N85" i="24"/>
  <c r="N95" i="24"/>
  <c r="N105" i="24"/>
  <c r="N66" i="24"/>
  <c r="N76" i="24"/>
  <c r="N86" i="24"/>
  <c r="N96" i="24"/>
  <c r="N106" i="24"/>
  <c r="N116" i="24"/>
  <c r="N126" i="24"/>
  <c r="N71" i="24"/>
  <c r="N101" i="24"/>
  <c r="N92" i="24"/>
  <c r="N113" i="24"/>
  <c r="P218" i="24"/>
  <c r="P217" i="24"/>
  <c r="M218" i="24"/>
  <c r="M217" i="24"/>
  <c r="P219" i="24"/>
  <c r="P209" i="24"/>
  <c r="P9" i="28" s="1"/>
  <c r="Q9" i="28" s="1"/>
  <c r="P212" i="24"/>
  <c r="P213" i="24"/>
  <c r="P26" i="24"/>
  <c r="P189" i="24"/>
  <c r="P126" i="24"/>
  <c r="P27" i="24"/>
  <c r="P75" i="24"/>
  <c r="P122" i="24"/>
  <c r="P14" i="24"/>
  <c r="P109" i="24"/>
  <c r="P157" i="24"/>
  <c r="P8" i="24"/>
  <c r="P92" i="24"/>
  <c r="P123" i="24"/>
  <c r="P155" i="24"/>
  <c r="P187" i="24"/>
  <c r="P79" i="24"/>
  <c r="P174" i="24"/>
  <c r="P193" i="24"/>
  <c r="P77" i="24"/>
  <c r="P124" i="24"/>
  <c r="P172" i="24"/>
  <c r="P94" i="24"/>
  <c r="P129" i="24"/>
  <c r="P9" i="24"/>
  <c r="P87" i="24"/>
  <c r="P96" i="24"/>
  <c r="P111" i="24"/>
  <c r="P81" i="24"/>
  <c r="P128" i="24"/>
  <c r="P160" i="24"/>
  <c r="P176" i="24"/>
  <c r="P98" i="24"/>
  <c r="P85" i="24"/>
  <c r="P165" i="24"/>
  <c r="P24" i="24"/>
  <c r="P113" i="24"/>
  <c r="P180" i="24"/>
  <c r="P121" i="28" s="1"/>
  <c r="Q121" i="28" s="1"/>
  <c r="P134" i="24"/>
  <c r="P83" i="24"/>
  <c r="P162" i="24"/>
  <c r="P178" i="24"/>
  <c r="P102" i="24"/>
  <c r="P84" i="24"/>
  <c r="P100" i="24"/>
  <c r="P115" i="24"/>
  <c r="P131" i="24"/>
  <c r="P147" i="24"/>
  <c r="P150" i="24"/>
  <c r="P69" i="24"/>
  <c r="P23" i="24"/>
  <c r="P71" i="24"/>
  <c r="P182" i="24"/>
  <c r="P86" i="24"/>
  <c r="P117" i="24"/>
  <c r="P103" i="24"/>
  <c r="P119" i="24"/>
  <c r="P73" i="24"/>
  <c r="P89" i="24"/>
  <c r="P168" i="24"/>
  <c r="P184" i="24"/>
  <c r="P59" i="24"/>
  <c r="P61" i="24"/>
  <c r="P55" i="24"/>
  <c r="P57" i="24"/>
  <c r="M211" i="24"/>
  <c r="M208" i="24"/>
  <c r="J40" i="28" s="1"/>
  <c r="K40" i="28" s="1"/>
  <c r="M219" i="24"/>
  <c r="M212" i="24"/>
  <c r="M209" i="24"/>
  <c r="M215" i="24"/>
  <c r="M213" i="24"/>
  <c r="M210" i="24"/>
  <c r="M216" i="24"/>
  <c r="P208" i="24"/>
  <c r="P210" i="24"/>
  <c r="P211" i="24"/>
  <c r="P215" i="24"/>
  <c r="P42" i="24"/>
  <c r="P58" i="24"/>
  <c r="P74" i="24"/>
  <c r="P90" i="24"/>
  <c r="P106" i="24"/>
  <c r="P121" i="24"/>
  <c r="P153" i="24"/>
  <c r="P169" i="24"/>
  <c r="P185" i="24"/>
  <c r="P11" i="24"/>
  <c r="P16" i="24"/>
  <c r="P145" i="24"/>
  <c r="P179" i="24"/>
  <c r="P148" i="24"/>
  <c r="P167" i="24"/>
  <c r="P43" i="24"/>
  <c r="P91" i="24"/>
  <c r="P107" i="24"/>
  <c r="P154" i="24"/>
  <c r="P170" i="24"/>
  <c r="P186" i="24"/>
  <c r="P12" i="24"/>
  <c r="P13" i="24"/>
  <c r="P62" i="24"/>
  <c r="P31" i="24"/>
  <c r="P95" i="24"/>
  <c r="P158" i="24"/>
  <c r="P177" i="24"/>
  <c r="P101" i="24"/>
  <c r="P22" i="24"/>
  <c r="P7" i="24"/>
  <c r="P39" i="24"/>
  <c r="P28" i="24"/>
  <c r="P44" i="24"/>
  <c r="P60" i="24"/>
  <c r="P76" i="24"/>
  <c r="P171" i="24"/>
  <c r="P78" i="24"/>
  <c r="P125" i="24"/>
  <c r="P173" i="24"/>
  <c r="P29" i="24"/>
  <c r="P45" i="24"/>
  <c r="P93" i="24"/>
  <c r="P108" i="24"/>
  <c r="P140" i="24"/>
  <c r="P156" i="24"/>
  <c r="P188" i="24"/>
  <c r="P46" i="24"/>
  <c r="P141" i="24"/>
  <c r="P15" i="24"/>
  <c r="P47" i="24"/>
  <c r="P110" i="24"/>
  <c r="P190" i="24"/>
  <c r="P30" i="24"/>
  <c r="P142" i="24"/>
  <c r="P161" i="24"/>
  <c r="P181" i="24"/>
  <c r="P103" i="28" s="1"/>
  <c r="Q103" i="28" s="1"/>
  <c r="P63" i="24"/>
  <c r="P118" i="24"/>
  <c r="P32" i="24"/>
  <c r="P48" i="24"/>
  <c r="P64" i="24"/>
  <c r="P80" i="24"/>
  <c r="P127" i="24"/>
  <c r="P143" i="24"/>
  <c r="P159" i="24"/>
  <c r="P175" i="24"/>
  <c r="P191" i="24"/>
  <c r="P17" i="24"/>
  <c r="P183" i="24"/>
  <c r="P33" i="24"/>
  <c r="P49" i="24"/>
  <c r="P65" i="24"/>
  <c r="P97" i="24"/>
  <c r="P112" i="24"/>
  <c r="P144" i="24"/>
  <c r="P192" i="24"/>
  <c r="P18" i="24"/>
  <c r="P19" i="24"/>
  <c r="P6" i="24"/>
  <c r="P34" i="24"/>
  <c r="P50" i="24"/>
  <c r="P66" i="24"/>
  <c r="P82" i="24"/>
  <c r="P149" i="24"/>
  <c r="P35" i="24"/>
  <c r="P51" i="24"/>
  <c r="P67" i="24"/>
  <c r="P99" i="24"/>
  <c r="P114" i="24"/>
  <c r="P130" i="24"/>
  <c r="P146" i="24"/>
  <c r="P194" i="24"/>
  <c r="P20" i="24"/>
  <c r="P21" i="24"/>
  <c r="P164" i="24"/>
  <c r="P36" i="24"/>
  <c r="P52" i="24"/>
  <c r="P68" i="24"/>
  <c r="P163" i="24"/>
  <c r="P195" i="24"/>
  <c r="P132" i="24"/>
  <c r="P133" i="24"/>
  <c r="P37" i="24"/>
  <c r="P53" i="24"/>
  <c r="P116" i="24"/>
  <c r="P25" i="24"/>
  <c r="P38" i="24"/>
  <c r="P54" i="24"/>
  <c r="P70" i="24"/>
  <c r="P166" i="24"/>
  <c r="P40" i="24"/>
  <c r="P56" i="24"/>
  <c r="P75" i="28" s="1"/>
  <c r="Q75" i="28" s="1"/>
  <c r="P72" i="24"/>
  <c r="P88" i="24"/>
  <c r="P104" i="24"/>
  <c r="P151" i="24"/>
  <c r="P41" i="24"/>
  <c r="P19" i="28" s="1"/>
  <c r="Q19" i="28" s="1"/>
  <c r="P105" i="24"/>
  <c r="P120" i="24"/>
  <c r="P152" i="24"/>
  <c r="P10" i="24"/>
  <c r="P5" i="24"/>
  <c r="J220" i="28"/>
  <c r="O140" i="24"/>
  <c r="O6" i="24"/>
  <c r="O7" i="24"/>
  <c r="O8" i="24"/>
  <c r="O9" i="24"/>
  <c r="O10" i="24"/>
  <c r="N114" i="28" s="1"/>
  <c r="O114" i="28" s="1"/>
  <c r="O11" i="24"/>
  <c r="O12" i="24"/>
  <c r="O13" i="24"/>
  <c r="O14" i="24"/>
  <c r="O15"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O50" i="24"/>
  <c r="O51" i="24"/>
  <c r="O52" i="24"/>
  <c r="O53" i="24"/>
  <c r="O54" i="24"/>
  <c r="O55" i="24"/>
  <c r="O56" i="24"/>
  <c r="O57" i="24"/>
  <c r="O58" i="24"/>
  <c r="O59" i="24"/>
  <c r="O60" i="24"/>
  <c r="O61" i="24"/>
  <c r="O62" i="24"/>
  <c r="O65" i="24"/>
  <c r="O66" i="24"/>
  <c r="O67" i="24"/>
  <c r="O68" i="24"/>
  <c r="O69" i="24"/>
  <c r="O70" i="24"/>
  <c r="N117" i="28" s="1"/>
  <c r="O117" i="28" s="1"/>
  <c r="O71" i="24"/>
  <c r="O72" i="24"/>
  <c r="O73" i="24"/>
  <c r="O74" i="24"/>
  <c r="N115" i="28" s="1"/>
  <c r="O115" i="28" s="1"/>
  <c r="O75" i="24"/>
  <c r="O76" i="24"/>
  <c r="O77" i="24"/>
  <c r="O78" i="24"/>
  <c r="O79" i="24"/>
  <c r="O80" i="24"/>
  <c r="O81" i="24"/>
  <c r="O82" i="24"/>
  <c r="O83" i="24"/>
  <c r="O84" i="24"/>
  <c r="N119" i="28" s="1"/>
  <c r="O119" i="28" s="1"/>
  <c r="O85" i="24"/>
  <c r="O86" i="24"/>
  <c r="O87" i="24"/>
  <c r="O88" i="24"/>
  <c r="O89" i="24"/>
  <c r="O90" i="24"/>
  <c r="O91" i="24"/>
  <c r="O92" i="24"/>
  <c r="O93" i="24"/>
  <c r="O94" i="24"/>
  <c r="O95" i="24"/>
  <c r="O96" i="24"/>
  <c r="O97" i="24"/>
  <c r="O98" i="24"/>
  <c r="O99" i="24"/>
  <c r="O100" i="24"/>
  <c r="O101" i="24"/>
  <c r="O102" i="24"/>
  <c r="O103" i="24"/>
  <c r="O104" i="24"/>
  <c r="O105" i="24"/>
  <c r="O106" i="24"/>
  <c r="O107" i="24"/>
  <c r="O108" i="24"/>
  <c r="O109" i="24"/>
  <c r="O110" i="24"/>
  <c r="O111" i="24"/>
  <c r="O112" i="24"/>
  <c r="O113" i="24"/>
  <c r="O114" i="24"/>
  <c r="O115" i="24"/>
  <c r="O116" i="24"/>
  <c r="O117" i="24"/>
  <c r="O118" i="24"/>
  <c r="O119" i="24"/>
  <c r="O120" i="24"/>
  <c r="O121" i="24"/>
  <c r="O122" i="24"/>
  <c r="O123" i="24"/>
  <c r="O124" i="24"/>
  <c r="O125" i="24"/>
  <c r="N68" i="28" s="1"/>
  <c r="O68" i="28" s="1"/>
  <c r="O126" i="24"/>
  <c r="N113" i="28" s="1"/>
  <c r="O113" i="28" s="1"/>
  <c r="O127" i="24"/>
  <c r="O128" i="24"/>
  <c r="O129" i="24"/>
  <c r="O130" i="24"/>
  <c r="O131" i="24"/>
  <c r="O132" i="24"/>
  <c r="O135" i="24"/>
  <c r="O136" i="24"/>
  <c r="O137" i="24"/>
  <c r="O138" i="24"/>
  <c r="O139" i="24"/>
  <c r="O141" i="24"/>
  <c r="O142" i="24"/>
  <c r="O143" i="24"/>
  <c r="O144" i="24"/>
  <c r="O145" i="24"/>
  <c r="O146" i="24"/>
  <c r="O147" i="24"/>
  <c r="O149" i="24"/>
  <c r="O150" i="24"/>
  <c r="O151" i="24"/>
  <c r="O152" i="24"/>
  <c r="O153" i="24"/>
  <c r="O154" i="24"/>
  <c r="N123" i="28" s="1"/>
  <c r="O123" i="28" s="1"/>
  <c r="O155" i="24"/>
  <c r="O156" i="24"/>
  <c r="O157" i="24"/>
  <c r="O158" i="24"/>
  <c r="O159" i="24"/>
  <c r="O160" i="24"/>
  <c r="O163" i="24"/>
  <c r="O166" i="24"/>
  <c r="O167" i="24"/>
  <c r="O168" i="24"/>
  <c r="O170" i="24"/>
  <c r="O171" i="24"/>
  <c r="O172" i="24"/>
  <c r="O173" i="24"/>
  <c r="O174" i="24"/>
  <c r="O175" i="24"/>
  <c r="O176" i="24"/>
  <c r="O177" i="24"/>
  <c r="O178" i="24"/>
  <c r="O179" i="24"/>
  <c r="O180" i="24"/>
  <c r="N121" i="28" s="1"/>
  <c r="O121" i="28" s="1"/>
  <c r="O181" i="24"/>
  <c r="O182" i="24"/>
  <c r="O183" i="24"/>
  <c r="O184" i="24"/>
  <c r="O185" i="24"/>
  <c r="O186" i="24"/>
  <c r="O187" i="24"/>
  <c r="O5" i="24"/>
  <c r="AM104" i="24" a="1"/>
  <c r="AM104" i="24" s="1"/>
  <c r="J38" i="28" l="1"/>
  <c r="K38" i="28" s="1"/>
  <c r="L97" i="28"/>
  <c r="M97" i="28" s="1"/>
  <c r="L110" i="28"/>
  <c r="M110" i="28" s="1"/>
  <c r="J14" i="28"/>
  <c r="K14" i="28" s="1"/>
  <c r="J75" i="28"/>
  <c r="K75" i="28" s="1"/>
  <c r="J45" i="28"/>
  <c r="K45" i="28" s="1"/>
  <c r="N19" i="28"/>
  <c r="O19" i="28" s="1"/>
  <c r="J46" i="28"/>
  <c r="K46" i="28" s="1"/>
  <c r="J33" i="28"/>
  <c r="K33" i="28" s="1"/>
  <c r="J36" i="28"/>
  <c r="K36" i="28" s="1"/>
  <c r="P17" i="28"/>
  <c r="Q17" i="28" s="1"/>
  <c r="N15" i="28"/>
  <c r="O15" i="28" s="1"/>
  <c r="P123" i="28"/>
  <c r="Q123" i="28" s="1"/>
  <c r="P77" i="28"/>
  <c r="Q77" i="28" s="1"/>
  <c r="J65" i="28"/>
  <c r="K65" i="28" s="1"/>
  <c r="L104" i="28"/>
  <c r="M104" i="28" s="1"/>
  <c r="N14" i="28"/>
  <c r="O14" i="28" s="1"/>
  <c r="P20" i="28"/>
  <c r="Q20" i="28" s="1"/>
  <c r="J54" i="28"/>
  <c r="K54" i="28" s="1"/>
  <c r="P14" i="28"/>
  <c r="Q14" i="28" s="1"/>
  <c r="J31" i="28"/>
  <c r="K31" i="28" s="1"/>
  <c r="J51" i="28"/>
  <c r="K51" i="28" s="1"/>
  <c r="J42" i="28"/>
  <c r="K42" i="28" s="1"/>
  <c r="J22" i="28"/>
  <c r="K22" i="28" s="1"/>
  <c r="P68" i="28"/>
  <c r="Q68" i="28" s="1"/>
  <c r="J41" i="28"/>
  <c r="K41" i="28" s="1"/>
  <c r="L68" i="28"/>
  <c r="M68" i="28" s="1"/>
  <c r="L112" i="28"/>
  <c r="M112" i="28" s="1"/>
  <c r="L99" i="28"/>
  <c r="M99" i="28" s="1"/>
  <c r="L111" i="28"/>
  <c r="M111" i="28" s="1"/>
  <c r="L82" i="28"/>
  <c r="M82" i="28" s="1"/>
  <c r="L84" i="28"/>
  <c r="M84" i="28" s="1"/>
  <c r="L87" i="28"/>
  <c r="M87" i="28" s="1"/>
  <c r="L100" i="28"/>
  <c r="M100" i="28" s="1"/>
  <c r="L101" i="28"/>
  <c r="M101" i="28" s="1"/>
  <c r="L103" i="28"/>
  <c r="M103" i="28" s="1"/>
  <c r="L96" i="28"/>
  <c r="M96" i="28" s="1"/>
  <c r="L92" i="28"/>
  <c r="M92" i="28" s="1"/>
  <c r="L94" i="28"/>
  <c r="M94" i="28" s="1"/>
  <c r="L93" i="28"/>
  <c r="M93" i="28" s="1"/>
  <c r="L85" i="28"/>
  <c r="M85" i="28" s="1"/>
  <c r="J123" i="28"/>
  <c r="K123" i="28" s="1"/>
  <c r="J77" i="28"/>
  <c r="K77" i="28" s="1"/>
  <c r="J19" i="28"/>
  <c r="K19" i="28" s="1"/>
  <c r="J53" i="28"/>
  <c r="K53" i="28" s="1"/>
  <c r="J23" i="28"/>
  <c r="K23" i="28" s="1"/>
  <c r="J57" i="28"/>
  <c r="K57" i="28" s="1"/>
  <c r="J29" i="28"/>
  <c r="K29" i="28" s="1"/>
  <c r="J25" i="28"/>
  <c r="K25" i="28" s="1"/>
  <c r="J68" i="28"/>
  <c r="K68" i="28" s="1"/>
  <c r="L102" i="28"/>
  <c r="M102" i="28" s="1"/>
  <c r="L19" i="28"/>
  <c r="M19" i="28" s="1"/>
  <c r="P22" i="28"/>
  <c r="Q22" i="28" s="1"/>
  <c r="P28" i="28"/>
  <c r="Q28" i="28" s="1"/>
  <c r="N53" i="28"/>
  <c r="O53" i="28" s="1"/>
  <c r="N102" i="28"/>
  <c r="O102" i="28" s="1"/>
  <c r="J110" i="28"/>
  <c r="K110" i="28" s="1"/>
  <c r="P112" i="28"/>
  <c r="Q112" i="28" s="1"/>
  <c r="P105" i="28"/>
  <c r="Q105" i="28" s="1"/>
  <c r="P83" i="28"/>
  <c r="Q83" i="28" s="1"/>
  <c r="N82" i="28"/>
  <c r="O82" i="28" s="1"/>
  <c r="P102" i="28"/>
  <c r="Q102" i="28" s="1"/>
  <c r="N103" i="28"/>
  <c r="O103" i="28" s="1"/>
  <c r="P16" i="28"/>
  <c r="Q16" i="28" s="1"/>
  <c r="P80" i="28"/>
  <c r="Q80" i="28" s="1"/>
  <c r="N100" i="28"/>
  <c r="O100" i="28" s="1"/>
  <c r="P101" i="28"/>
  <c r="Q101" i="28" s="1"/>
  <c r="P13" i="28"/>
  <c r="Q13" i="28" s="1"/>
  <c r="N73" i="28"/>
  <c r="O73" i="28" s="1"/>
  <c r="N93" i="28"/>
  <c r="O93" i="28" s="1"/>
  <c r="N22" i="28"/>
  <c r="O22" i="28" s="1"/>
  <c r="P74" i="28"/>
  <c r="Q74" i="28" s="1"/>
  <c r="P44" i="28"/>
  <c r="Q44" i="28" s="1"/>
  <c r="P25" i="28"/>
  <c r="Q25" i="28" s="1"/>
  <c r="P85" i="28"/>
  <c r="Q85" i="28" s="1"/>
  <c r="L74" i="28"/>
  <c r="M74" i="28" s="1"/>
  <c r="J105" i="28"/>
  <c r="K105" i="28" s="1"/>
  <c r="P95" i="28"/>
  <c r="Q95" i="28" s="1"/>
  <c r="N24" i="28"/>
  <c r="O24" i="28" s="1"/>
  <c r="N104" i="28"/>
  <c r="O104" i="28" s="1"/>
  <c r="L80" i="28"/>
  <c r="M80" i="28" s="1"/>
  <c r="N56" i="28"/>
  <c r="O56" i="28" s="1"/>
  <c r="N13" i="28"/>
  <c r="O13" i="28" s="1"/>
  <c r="P115" i="28"/>
  <c r="Q115" i="28" s="1"/>
  <c r="P31" i="28"/>
  <c r="Q31" i="28" s="1"/>
  <c r="N69" i="28"/>
  <c r="O69" i="28" s="1"/>
  <c r="L90" i="28"/>
  <c r="M90" i="28" s="1"/>
  <c r="N70" i="28"/>
  <c r="O70" i="28" s="1"/>
  <c r="P81" i="28"/>
  <c r="Q81" i="28" s="1"/>
  <c r="P73" i="28"/>
  <c r="Q73" i="28" s="1"/>
  <c r="P71" i="28"/>
  <c r="Q71" i="28" s="1"/>
  <c r="N16" i="28"/>
  <c r="O16" i="28" s="1"/>
  <c r="P96" i="28"/>
  <c r="Q96" i="28" s="1"/>
  <c r="N18" i="28"/>
  <c r="O18" i="28" s="1"/>
  <c r="P49" i="28"/>
  <c r="Q49" i="28" s="1"/>
  <c r="P35" i="28"/>
  <c r="Q35" i="28" s="1"/>
  <c r="P48" i="28"/>
  <c r="Q48" i="28" s="1"/>
  <c r="J82" i="28"/>
  <c r="K82" i="28" s="1"/>
  <c r="N27" i="28"/>
  <c r="O27" i="28" s="1"/>
  <c r="P92" i="28"/>
  <c r="Q92" i="28" s="1"/>
  <c r="N23" i="28"/>
  <c r="O23" i="28" s="1"/>
  <c r="N92" i="28"/>
  <c r="O92" i="28" s="1"/>
  <c r="P24" i="28"/>
  <c r="Q24" i="28" s="1"/>
  <c r="J12" i="28"/>
  <c r="K12" i="28" s="1"/>
  <c r="P56" i="28"/>
  <c r="Q56" i="28" s="1"/>
  <c r="L72" i="28"/>
  <c r="M72" i="28" s="1"/>
  <c r="J90" i="28"/>
  <c r="K90" i="28" s="1"/>
  <c r="J120" i="28"/>
  <c r="K120" i="28" s="1"/>
  <c r="P100" i="28"/>
  <c r="Q100" i="28" s="1"/>
  <c r="N67" i="28"/>
  <c r="O67" i="28" s="1"/>
  <c r="J106" i="28"/>
  <c r="K106" i="28" s="1"/>
  <c r="J93" i="28"/>
  <c r="K93" i="28" s="1"/>
  <c r="N58" i="28"/>
  <c r="O58" i="28" s="1"/>
  <c r="N120" i="28"/>
  <c r="O120" i="28" s="1"/>
  <c r="P107" i="28"/>
  <c r="Q107" i="28" s="1"/>
  <c r="N42" i="28"/>
  <c r="O42" i="28" s="1"/>
  <c r="P15" i="28"/>
  <c r="Q15" i="28" s="1"/>
  <c r="N41" i="28"/>
  <c r="O41" i="28" s="1"/>
  <c r="P70" i="28"/>
  <c r="Q70" i="28" s="1"/>
  <c r="P50" i="28"/>
  <c r="Q50" i="28" s="1"/>
  <c r="N46" i="28"/>
  <c r="O46" i="28" s="1"/>
  <c r="P55" i="28"/>
  <c r="Q55" i="28" s="1"/>
  <c r="P120" i="28"/>
  <c r="Q120" i="28" s="1"/>
  <c r="N60" i="28"/>
  <c r="O60" i="28" s="1"/>
  <c r="P87" i="28"/>
  <c r="Q87" i="28" s="1"/>
  <c r="L15" i="28"/>
  <c r="M15" i="28" s="1"/>
  <c r="J73" i="28"/>
  <c r="K73" i="28" s="1"/>
  <c r="N34" i="28"/>
  <c r="O34" i="28" s="1"/>
  <c r="N106" i="28"/>
  <c r="O106" i="28" s="1"/>
  <c r="P114" i="28"/>
  <c r="Q114" i="28" s="1"/>
  <c r="P42" i="28"/>
  <c r="Q42" i="28" s="1"/>
  <c r="P104" i="28"/>
  <c r="Q104" i="28" s="1"/>
  <c r="P79" i="28"/>
  <c r="Q79" i="28" s="1"/>
  <c r="P108" i="28"/>
  <c r="Q108" i="28" s="1"/>
  <c r="J88" i="28"/>
  <c r="K88" i="28" s="1"/>
  <c r="N49" i="28"/>
  <c r="O49" i="28" s="1"/>
  <c r="N74" i="28"/>
  <c r="O74" i="28" s="1"/>
  <c r="N108" i="28"/>
  <c r="O108" i="28" s="1"/>
  <c r="N62" i="28"/>
  <c r="O62" i="28" s="1"/>
  <c r="P34" i="28"/>
  <c r="Q34" i="28" s="1"/>
  <c r="P57" i="28"/>
  <c r="Q57" i="28" s="1"/>
  <c r="N72" i="28"/>
  <c r="O72" i="28" s="1"/>
  <c r="P113" i="28"/>
  <c r="Q113" i="28" s="1"/>
  <c r="P10" i="28"/>
  <c r="Q10" i="28" s="1"/>
  <c r="J114" i="28"/>
  <c r="K114" i="28" s="1"/>
  <c r="J121" i="28"/>
  <c r="K121" i="28" s="1"/>
  <c r="N101" i="28"/>
  <c r="O101" i="28" s="1"/>
  <c r="P64" i="28"/>
  <c r="Q64" i="28" s="1"/>
  <c r="N36" i="28"/>
  <c r="O36" i="28" s="1"/>
  <c r="N105" i="28"/>
  <c r="O105" i="28" s="1"/>
  <c r="N39" i="28"/>
  <c r="O39" i="28" s="1"/>
  <c r="N111" i="28"/>
  <c r="O111" i="28" s="1"/>
  <c r="N30" i="28"/>
  <c r="O30" i="28" s="1"/>
  <c r="P41" i="28"/>
  <c r="Q41" i="28" s="1"/>
  <c r="J55" i="28"/>
  <c r="K55" i="28" s="1"/>
  <c r="N75" i="28"/>
  <c r="O75" i="28" s="1"/>
  <c r="N11" i="28"/>
  <c r="O11" i="28" s="1"/>
  <c r="N61" i="28"/>
  <c r="O61" i="28" s="1"/>
  <c r="N52" i="28"/>
  <c r="O52" i="28" s="1"/>
  <c r="N84" i="28"/>
  <c r="O84" i="28" s="1"/>
  <c r="N65" i="28"/>
  <c r="O65" i="28" s="1"/>
  <c r="N40" i="28"/>
  <c r="O40" i="28" s="1"/>
  <c r="N51" i="28"/>
  <c r="O51" i="28" s="1"/>
  <c r="P36" i="28"/>
  <c r="Q36" i="28" s="1"/>
  <c r="N80" i="28"/>
  <c r="O80" i="28" s="1"/>
  <c r="N95" i="28"/>
  <c r="O95" i="28" s="1"/>
  <c r="P23" i="28"/>
  <c r="Q23" i="28" s="1"/>
  <c r="P67" i="28"/>
  <c r="Q67" i="28" s="1"/>
  <c r="P88" i="28"/>
  <c r="Q88" i="28" s="1"/>
  <c r="P30" i="28"/>
  <c r="Q30" i="28" s="1"/>
  <c r="P8" i="28"/>
  <c r="Q8" i="28" s="1"/>
  <c r="P29" i="28"/>
  <c r="Q29" i="28" s="1"/>
  <c r="P33" i="28"/>
  <c r="Q33" i="28" s="1"/>
  <c r="J94" i="28"/>
  <c r="K94" i="28" s="1"/>
  <c r="J101" i="28"/>
  <c r="K101" i="28" s="1"/>
  <c r="J92" i="28"/>
  <c r="K92" i="28" s="1"/>
  <c r="N83" i="28"/>
  <c r="O83" i="28" s="1"/>
  <c r="N88" i="28"/>
  <c r="O88" i="28" s="1"/>
  <c r="P53" i="28"/>
  <c r="Q53" i="28" s="1"/>
  <c r="P90" i="28"/>
  <c r="Q90" i="28" s="1"/>
  <c r="P99" i="28"/>
  <c r="Q99" i="28" s="1"/>
  <c r="P45" i="28"/>
  <c r="Q45" i="28" s="1"/>
  <c r="P12" i="28"/>
  <c r="Q12" i="28" s="1"/>
  <c r="P82" i="28"/>
  <c r="Q82" i="28" s="1"/>
  <c r="N35" i="28"/>
  <c r="O35" i="28" s="1"/>
  <c r="P18" i="28"/>
  <c r="Q18" i="28" s="1"/>
  <c r="P39" i="28"/>
  <c r="Q39" i="28" s="1"/>
  <c r="P111" i="28"/>
  <c r="Q111" i="28" s="1"/>
  <c r="P98" i="28"/>
  <c r="Q98" i="28" s="1"/>
  <c r="N31" i="28"/>
  <c r="O31" i="28" s="1"/>
  <c r="N89" i="28"/>
  <c r="O89" i="28" s="1"/>
  <c r="N17" i="28"/>
  <c r="O17" i="28" s="1"/>
  <c r="N107" i="28"/>
  <c r="O107" i="28" s="1"/>
  <c r="N33" i="28"/>
  <c r="O33" i="28" s="1"/>
  <c r="N25" i="28"/>
  <c r="O25" i="28" s="1"/>
  <c r="N28" i="28"/>
  <c r="O28" i="28" s="1"/>
  <c r="N110" i="28"/>
  <c r="O110" i="28" s="1"/>
  <c r="P84" i="28"/>
  <c r="Q84" i="28" s="1"/>
  <c r="P110" i="28"/>
  <c r="Q110" i="28" s="1"/>
  <c r="P93" i="28"/>
  <c r="Q93" i="28" s="1"/>
  <c r="P26" i="28"/>
  <c r="Q26" i="28" s="1"/>
  <c r="N99" i="28"/>
  <c r="O99" i="28" s="1"/>
  <c r="J21" i="28"/>
  <c r="K21" i="28" s="1"/>
  <c r="J115" i="28"/>
  <c r="K115" i="28" s="1"/>
  <c r="P51" i="28"/>
  <c r="Q51" i="28" s="1"/>
  <c r="P78" i="28"/>
  <c r="Q78" i="28" s="1"/>
  <c r="P37" i="28"/>
  <c r="Q37" i="28" s="1"/>
  <c r="P89" i="28"/>
  <c r="Q89" i="28" s="1"/>
  <c r="N76" i="28"/>
  <c r="O76" i="28" s="1"/>
  <c r="N50" i="28"/>
  <c r="O50" i="28" s="1"/>
  <c r="N112" i="28"/>
  <c r="O112" i="28" s="1"/>
  <c r="N47" i="28"/>
  <c r="O47" i="28" s="1"/>
  <c r="N91" i="28"/>
  <c r="O91" i="28" s="1"/>
  <c r="N32" i="28"/>
  <c r="O32" i="28" s="1"/>
  <c r="N38" i="28"/>
  <c r="O38" i="28" s="1"/>
  <c r="N87" i="28"/>
  <c r="O87" i="28" s="1"/>
  <c r="P117" i="28"/>
  <c r="Q117" i="28" s="1"/>
  <c r="P106" i="28"/>
  <c r="Q106" i="28" s="1"/>
  <c r="P27" i="28"/>
  <c r="Q27" i="28" s="1"/>
  <c r="P94" i="28"/>
  <c r="Q94" i="28" s="1"/>
  <c r="P11" i="28"/>
  <c r="Q11" i="28" s="1"/>
  <c r="P116" i="28"/>
  <c r="Q116" i="28" s="1"/>
  <c r="P119" i="28"/>
  <c r="Q119" i="28" s="1"/>
  <c r="P60" i="28"/>
  <c r="Q60" i="28" s="1"/>
  <c r="P66" i="28"/>
  <c r="Q66" i="28" s="1"/>
  <c r="N97" i="28"/>
  <c r="O97" i="28" s="1"/>
  <c r="N20" i="28"/>
  <c r="O20" i="28" s="1"/>
  <c r="N29" i="28"/>
  <c r="O29" i="28" s="1"/>
  <c r="N77" i="28"/>
  <c r="O77" i="28" s="1"/>
  <c r="N9" i="28"/>
  <c r="O9" i="28" s="1"/>
  <c r="N43" i="28"/>
  <c r="O43" i="28" s="1"/>
  <c r="N21" i="28"/>
  <c r="O21" i="28" s="1"/>
  <c r="N48" i="28"/>
  <c r="O48" i="28" s="1"/>
  <c r="N54" i="28"/>
  <c r="O54" i="28" s="1"/>
  <c r="P97" i="28"/>
  <c r="Q97" i="28" s="1"/>
  <c r="P118" i="28"/>
  <c r="Q118" i="28" s="1"/>
  <c r="P63" i="28"/>
  <c r="Q63" i="28" s="1"/>
  <c r="P54" i="28"/>
  <c r="Q54" i="28" s="1"/>
  <c r="P76" i="28"/>
  <c r="Q76" i="28" s="1"/>
  <c r="P21" i="28"/>
  <c r="Q21" i="28" s="1"/>
  <c r="L86" i="28"/>
  <c r="M86" i="28" s="1"/>
  <c r="P61" i="28"/>
  <c r="Q61" i="28" s="1"/>
  <c r="P52" i="28"/>
  <c r="Q52" i="28" s="1"/>
  <c r="P47" i="28"/>
  <c r="Q47" i="28" s="1"/>
  <c r="P91" i="28"/>
  <c r="Q91" i="28" s="1"/>
  <c r="J11" i="28"/>
  <c r="K11" i="28" s="1"/>
  <c r="J116" i="28"/>
  <c r="K116" i="28" s="1"/>
  <c r="P43" i="28"/>
  <c r="Q43" i="28" s="1"/>
  <c r="N8" i="28"/>
  <c r="O8" i="28" s="1"/>
  <c r="N98" i="28"/>
  <c r="O98" i="28" s="1"/>
  <c r="N81" i="28"/>
  <c r="O81" i="28" s="1"/>
  <c r="N85" i="28"/>
  <c r="O85" i="28" s="1"/>
  <c r="P72" i="28"/>
  <c r="Q72" i="28" s="1"/>
  <c r="P59" i="28"/>
  <c r="Q59" i="28" s="1"/>
  <c r="P69" i="28"/>
  <c r="Q69" i="28" s="1"/>
  <c r="L48" i="28"/>
  <c r="M48" i="28" s="1"/>
  <c r="L16" i="28"/>
  <c r="M16" i="28" s="1"/>
  <c r="L34" i="28"/>
  <c r="M34" i="28" s="1"/>
  <c r="P32" i="28"/>
  <c r="Q32" i="28" s="1"/>
  <c r="P38" i="28"/>
  <c r="Q38" i="28" s="1"/>
  <c r="J9" i="28"/>
  <c r="K9" i="28" s="1"/>
  <c r="J117" i="28"/>
  <c r="K117" i="28" s="1"/>
  <c r="N66" i="28"/>
  <c r="O66" i="28" s="1"/>
  <c r="N26" i="28"/>
  <c r="O26" i="28" s="1"/>
  <c r="N44" i="28"/>
  <c r="O44" i="28" s="1"/>
  <c r="N57" i="28"/>
  <c r="O57" i="28" s="1"/>
  <c r="P109" i="28"/>
  <c r="Q109" i="28" s="1"/>
  <c r="P62" i="28"/>
  <c r="Q62" i="28" s="1"/>
  <c r="P86" i="28"/>
  <c r="Q86" i="28" s="1"/>
  <c r="P58" i="28"/>
  <c r="Q58" i="28" s="1"/>
  <c r="J17" i="28"/>
  <c r="K17" i="28" s="1"/>
  <c r="J119" i="28"/>
  <c r="K119" i="28" s="1"/>
  <c r="P46" i="28"/>
  <c r="Q46" i="28" s="1"/>
  <c r="P65" i="28"/>
  <c r="Q65" i="28" s="1"/>
  <c r="P40" i="28"/>
  <c r="Q40" i="28" s="1"/>
  <c r="L59" i="28"/>
  <c r="M59" i="28" s="1"/>
  <c r="L65" i="28"/>
  <c r="M65" i="28" s="1"/>
  <c r="L40" i="28"/>
  <c r="M40" i="28" s="1"/>
  <c r="L78" i="28"/>
  <c r="M78" i="28" s="1"/>
  <c r="L54" i="28"/>
  <c r="M54" i="28" s="1"/>
  <c r="L115" i="28"/>
  <c r="M115" i="28" s="1"/>
  <c r="L41" i="28"/>
  <c r="M41" i="28" s="1"/>
  <c r="L108" i="28"/>
  <c r="M108" i="28" s="1"/>
  <c r="L44" i="28"/>
  <c r="M44" i="28" s="1"/>
  <c r="L70" i="28"/>
  <c r="M70" i="28" s="1"/>
  <c r="L49" i="28"/>
  <c r="M49" i="28" s="1"/>
  <c r="L26" i="28"/>
  <c r="M26" i="28" s="1"/>
  <c r="L24" i="28"/>
  <c r="M24" i="28" s="1"/>
  <c r="L32" i="28"/>
  <c r="M32" i="28" s="1"/>
  <c r="L38" i="28"/>
  <c r="M38" i="28" s="1"/>
  <c r="L64" i="28"/>
  <c r="M64" i="28" s="1"/>
  <c r="L51" i="28"/>
  <c r="M51" i="28" s="1"/>
  <c r="L50" i="28"/>
  <c r="M50" i="28" s="1"/>
  <c r="L30" i="28"/>
  <c r="M30" i="28" s="1"/>
  <c r="L117" i="28"/>
  <c r="M117" i="28" s="1"/>
  <c r="L42" i="28"/>
  <c r="M42" i="28" s="1"/>
  <c r="L98" i="28"/>
  <c r="M98" i="28" s="1"/>
  <c r="L28" i="28"/>
  <c r="M28" i="28" s="1"/>
  <c r="L107" i="28"/>
  <c r="M107" i="28" s="1"/>
  <c r="L33" i="28"/>
  <c r="M33" i="28" s="1"/>
  <c r="L56" i="28"/>
  <c r="M56" i="28" s="1"/>
  <c r="L20" i="28"/>
  <c r="M20" i="28" s="1"/>
  <c r="L43" i="28"/>
  <c r="M43" i="28" s="1"/>
  <c r="L21" i="28"/>
  <c r="M21" i="28" s="1"/>
  <c r="L8" i="28"/>
  <c r="M8" i="28" s="1"/>
  <c r="L22" i="28"/>
  <c r="M22" i="28" s="1"/>
  <c r="L14" i="28"/>
  <c r="M14" i="28" s="1"/>
  <c r="L39" i="28"/>
  <c r="M39" i="28" s="1"/>
  <c r="L119" i="28"/>
  <c r="M119" i="28" s="1"/>
  <c r="L57" i="28"/>
  <c r="M57" i="28" s="1"/>
  <c r="L69" i="28"/>
  <c r="M69" i="28" s="1"/>
  <c r="L25" i="28"/>
  <c r="M25" i="28" s="1"/>
  <c r="L95" i="28"/>
  <c r="M95" i="28" s="1"/>
  <c r="L62" i="28"/>
  <c r="M62" i="28" s="1"/>
  <c r="L13" i="28"/>
  <c r="M13" i="28" s="1"/>
  <c r="L23" i="28"/>
  <c r="M23" i="28" s="1"/>
  <c r="L81" i="28"/>
  <c r="M81" i="28" s="1"/>
  <c r="L53" i="28"/>
  <c r="M53" i="28" s="1"/>
  <c r="L89" i="28"/>
  <c r="M89" i="28" s="1"/>
  <c r="L17" i="28"/>
  <c r="M17" i="28" s="1"/>
  <c r="L75" i="28"/>
  <c r="M75" i="28" s="1"/>
  <c r="L11" i="28"/>
  <c r="M11" i="28" s="1"/>
  <c r="L77" i="28"/>
  <c r="M77" i="28" s="1"/>
  <c r="L9" i="28"/>
  <c r="M9" i="28" s="1"/>
  <c r="L27" i="28"/>
  <c r="M27" i="28" s="1"/>
  <c r="L61" i="28"/>
  <c r="M61" i="28" s="1"/>
  <c r="L52" i="28"/>
  <c r="M52" i="28" s="1"/>
  <c r="L29" i="28"/>
  <c r="M29" i="28" s="1"/>
  <c r="L120" i="28"/>
  <c r="M120" i="28" s="1"/>
  <c r="L46" i="28"/>
  <c r="M46" i="28" s="1"/>
  <c r="L114" i="28"/>
  <c r="M114" i="28" s="1"/>
  <c r="L67" i="28"/>
  <c r="M67" i="28" s="1"/>
  <c r="L35" i="28"/>
  <c r="M35" i="28" s="1"/>
  <c r="L18" i="28"/>
  <c r="M18" i="28" s="1"/>
  <c r="L79" i="28"/>
  <c r="M79" i="28" s="1"/>
  <c r="L113" i="28"/>
  <c r="M113" i="28" s="1"/>
  <c r="L10" i="28"/>
  <c r="M10" i="28" s="1"/>
  <c r="L76" i="28"/>
  <c r="M76" i="28" s="1"/>
  <c r="L71" i="28"/>
  <c r="M71" i="28" s="1"/>
  <c r="L55" i="28"/>
  <c r="M55" i="28" s="1"/>
  <c r="L66" i="28"/>
  <c r="M66" i="28" s="1"/>
  <c r="L36" i="28"/>
  <c r="M36" i="28" s="1"/>
  <c r="L105" i="28"/>
  <c r="M105" i="28" s="1"/>
  <c r="L31" i="28"/>
  <c r="M31" i="28" s="1"/>
  <c r="L109" i="28"/>
  <c r="M109" i="28" s="1"/>
  <c r="L83" i="28"/>
  <c r="M83" i="28" s="1"/>
  <c r="L106" i="28"/>
  <c r="M106" i="28" s="1"/>
  <c r="L60" i="28"/>
  <c r="M60" i="28" s="1"/>
  <c r="L37" i="28"/>
  <c r="M37" i="28" s="1"/>
  <c r="L58" i="28"/>
  <c r="M58" i="28" s="1"/>
  <c r="L47" i="28"/>
  <c r="M47" i="28" s="1"/>
  <c r="L91" i="28"/>
  <c r="M91" i="28" s="1"/>
  <c r="J76" i="28"/>
  <c r="K76" i="28" s="1"/>
  <c r="J56" i="28"/>
  <c r="K56" i="28" s="1"/>
  <c r="J97" i="28"/>
  <c r="K97" i="28" s="1"/>
  <c r="J32" i="28"/>
  <c r="K32" i="28" s="1"/>
  <c r="J67" i="28"/>
  <c r="K67" i="28" s="1"/>
  <c r="J50" i="28"/>
  <c r="K50" i="28" s="1"/>
  <c r="J86" i="28"/>
  <c r="K86" i="28" s="1"/>
  <c r="J35" i="28"/>
  <c r="K35" i="28" s="1"/>
  <c r="J62" i="28"/>
  <c r="K62" i="28" s="1"/>
  <c r="J102" i="28"/>
  <c r="K102" i="28" s="1"/>
  <c r="J118" i="28"/>
  <c r="K118" i="28" s="1"/>
  <c r="J63" i="28"/>
  <c r="K63" i="28" s="1"/>
  <c r="J28" i="28"/>
  <c r="K28" i="28" s="1"/>
  <c r="J108" i="28"/>
  <c r="K108" i="28" s="1"/>
  <c r="J58" i="28"/>
  <c r="K58" i="28" s="1"/>
  <c r="J15" i="28"/>
  <c r="K15" i="28" s="1"/>
  <c r="J60" i="28"/>
  <c r="K60" i="28" s="1"/>
  <c r="J70" i="28"/>
  <c r="K70" i="28" s="1"/>
  <c r="J34" i="28"/>
  <c r="K34" i="28" s="1"/>
  <c r="J8" i="28"/>
  <c r="K8" i="28" s="1"/>
  <c r="J103" i="28"/>
  <c r="K103" i="28" s="1"/>
  <c r="J13" i="28"/>
  <c r="K13" i="28" s="1"/>
  <c r="J79" i="28"/>
  <c r="K79" i="28" s="1"/>
  <c r="J64" i="28"/>
  <c r="K64" i="28" s="1"/>
  <c r="J71" i="28"/>
  <c r="K71" i="28" s="1"/>
  <c r="J39" i="28"/>
  <c r="K39" i="28" s="1"/>
  <c r="J111" i="28"/>
  <c r="K111" i="28" s="1"/>
  <c r="J83" i="28"/>
  <c r="K83" i="28" s="1"/>
  <c r="J26" i="28"/>
  <c r="K26" i="28" s="1"/>
  <c r="J47" i="28"/>
  <c r="K47" i="28" s="1"/>
  <c r="J91" i="28"/>
  <c r="K91" i="28" s="1"/>
  <c r="J85" i="28"/>
  <c r="K85" i="28" s="1"/>
  <c r="J78" i="28"/>
  <c r="K78" i="28" s="1"/>
  <c r="J30" i="28"/>
  <c r="K30" i="28" s="1"/>
  <c r="J104" i="28"/>
  <c r="K104" i="28" s="1"/>
  <c r="J74" i="28"/>
  <c r="K74" i="28" s="1"/>
  <c r="J48" i="28"/>
  <c r="K48" i="28" s="1"/>
  <c r="J113" i="28"/>
  <c r="K113" i="28" s="1"/>
  <c r="J10" i="28"/>
  <c r="K10" i="28" s="1"/>
  <c r="J66" i="28"/>
  <c r="K66" i="28" s="1"/>
  <c r="J43" i="28"/>
  <c r="K43" i="28" s="1"/>
  <c r="J20" i="28"/>
  <c r="K20" i="28" s="1"/>
  <c r="J107" i="28"/>
  <c r="K107" i="28" s="1"/>
  <c r="J84" i="28"/>
  <c r="K84" i="28" s="1"/>
  <c r="J27" i="28"/>
  <c r="K27" i="28" s="1"/>
  <c r="J95" i="28"/>
  <c r="K95" i="28" s="1"/>
  <c r="J61" i="28"/>
  <c r="K61" i="28" s="1"/>
  <c r="J52" i="28"/>
  <c r="K52" i="28" s="1"/>
  <c r="J112" i="28"/>
  <c r="K112" i="28" s="1"/>
  <c r="J18" i="28"/>
  <c r="K18" i="28" s="1"/>
  <c r="J16" i="28"/>
  <c r="K16" i="28" s="1"/>
  <c r="J81" i="28"/>
  <c r="K81" i="28" s="1"/>
  <c r="J87" i="28"/>
  <c r="K87" i="28" s="1"/>
  <c r="J72" i="28"/>
  <c r="K72" i="28" s="1"/>
  <c r="J24" i="28"/>
  <c r="K24" i="28" s="1"/>
  <c r="J98" i="28"/>
  <c r="K98" i="28" s="1"/>
  <c r="J96" i="28"/>
  <c r="K96" i="28" s="1"/>
  <c r="J80" i="28"/>
  <c r="K80" i="28" s="1"/>
  <c r="J59" i="28"/>
  <c r="K59" i="28" s="1"/>
  <c r="J69" i="28"/>
  <c r="K69" i="28" s="1"/>
  <c r="J37" i="28"/>
  <c r="K37" i="28" s="1"/>
  <c r="J89" i="28"/>
  <c r="K89" i="28" s="1"/>
  <c r="J49" i="28"/>
  <c r="K49" i="28" s="1"/>
  <c r="J99" i="28"/>
  <c r="K99" i="28" s="1"/>
  <c r="J100" i="28"/>
  <c r="K100" i="28" s="1"/>
  <c r="J223" i="28"/>
  <c r="K223" i="28" s="1"/>
  <c r="J109" i="28"/>
  <c r="K109" i="28" s="1"/>
  <c r="N223" i="28"/>
  <c r="O223" i="28" s="1"/>
  <c r="N109" i="28"/>
  <c r="O109" i="28" s="1"/>
  <c r="N220" i="28"/>
  <c r="P223" i="28"/>
  <c r="Q223" i="28" s="1"/>
  <c r="R223" i="28"/>
  <c r="S223" i="28" s="1"/>
  <c r="P220" i="28"/>
  <c r="R220" i="28"/>
  <c r="R216" i="24"/>
  <c r="R209" i="24"/>
  <c r="R212" i="24"/>
  <c r="R219" i="24"/>
  <c r="R213" i="24"/>
  <c r="R218" i="24"/>
  <c r="R217" i="24"/>
  <c r="R215" i="24"/>
  <c r="R211" i="24"/>
  <c r="R210" i="24"/>
  <c r="R208" i="24"/>
  <c r="M3" i="28" l="1"/>
  <c r="K3" i="28"/>
  <c r="D34" i="2"/>
  <c r="F24" i="2" l="1"/>
  <c r="G24" i="2" s="1"/>
  <c r="H24" i="2" s="1"/>
  <c r="F74" i="26" s="1"/>
  <c r="M74" i="26" l="1"/>
  <c r="J74" i="26"/>
  <c r="AM100" i="21" a="1"/>
  <c r="AM100" i="21" s="1"/>
  <c r="BK287" i="21" l="1"/>
  <c r="AM5" i="24" a="1"/>
  <c r="AM5" i="24" s="1"/>
  <c r="F35" i="2" l="1"/>
  <c r="G35" i="2" s="1"/>
  <c r="H35" i="2" s="1"/>
  <c r="F93" i="26" s="1"/>
  <c r="F5" i="2"/>
  <c r="G5" i="2" s="1"/>
  <c r="A99" i="21"/>
  <c r="B99" i="21"/>
  <c r="E99" i="21"/>
  <c r="AL100" i="21" a="1"/>
  <c r="AL100" i="21" s="1"/>
  <c r="A100" i="21" a="1"/>
  <c r="A100" i="21" s="1"/>
  <c r="F6" i="2"/>
  <c r="G6" i="2" s="1"/>
  <c r="H6" i="2" s="1"/>
  <c r="F7" i="26" s="1"/>
  <c r="BK100" i="21" l="1" a="1"/>
  <c r="BK100" i="21" s="1"/>
  <c r="M7" i="26"/>
  <c r="W100" i="21" a="1"/>
  <c r="W100" i="21" s="1"/>
  <c r="M93" i="26" l="1"/>
  <c r="J93" i="26"/>
  <c r="J7" i="26"/>
  <c r="F8" i="2"/>
  <c r="G8" i="2" s="1"/>
  <c r="H8" i="2" s="1"/>
  <c r="F13" i="26" s="1"/>
  <c r="F11" i="2"/>
  <c r="G11" i="2" s="1"/>
  <c r="F13" i="2"/>
  <c r="G13" i="2" s="1"/>
  <c r="F21" i="2"/>
  <c r="G21" i="2" s="1"/>
  <c r="F20" i="2"/>
  <c r="G20" i="2" s="1"/>
  <c r="F22" i="2"/>
  <c r="G22" i="2" s="1"/>
  <c r="F27" i="2"/>
  <c r="G27" i="2" s="1"/>
  <c r="F32" i="2"/>
  <c r="G32" i="2" s="1"/>
  <c r="H32" i="2" s="1"/>
  <c r="F86" i="26" s="1"/>
  <c r="F36" i="2"/>
  <c r="G36" i="2" s="1"/>
  <c r="F39" i="2"/>
  <c r="G39" i="2" s="1"/>
  <c r="F41" i="2"/>
  <c r="G41" i="2" s="1"/>
  <c r="F43" i="2"/>
  <c r="G43" i="2" s="1"/>
  <c r="H43" i="2" s="1"/>
  <c r="F109" i="26" s="1"/>
  <c r="F45" i="2"/>
  <c r="G45" i="2" s="1"/>
  <c r="F47" i="2"/>
  <c r="G47" i="2" s="1"/>
  <c r="F53" i="2"/>
  <c r="G53" i="2" s="1"/>
  <c r="H53" i="2" s="1"/>
  <c r="F132" i="26" s="1"/>
  <c r="F55" i="2"/>
  <c r="G55" i="2" s="1"/>
  <c r="H55" i="2" s="1"/>
  <c r="F136" i="26" s="1"/>
  <c r="F64" i="2"/>
  <c r="G64" i="2" s="1"/>
  <c r="F65" i="2"/>
  <c r="G65" i="2" s="1"/>
  <c r="H65" i="2" s="1"/>
  <c r="F252" i="26" s="1"/>
  <c r="F66" i="2"/>
  <c r="G66" i="2" s="1"/>
  <c r="F67" i="2"/>
  <c r="G67" i="2" s="1"/>
  <c r="F31" i="2"/>
  <c r="G31" i="2" s="1"/>
  <c r="F28" i="2"/>
  <c r="G28" i="2" s="1"/>
  <c r="F50" i="2"/>
  <c r="G50" i="2" s="1"/>
  <c r="F14" i="2"/>
  <c r="G14" i="2" s="1"/>
  <c r="F15" i="2"/>
  <c r="G15" i="2" s="1"/>
  <c r="H15" i="2" s="1"/>
  <c r="F27" i="26" s="1"/>
  <c r="F16" i="2"/>
  <c r="G16" i="2" s="1"/>
  <c r="F54" i="2"/>
  <c r="G54" i="2" s="1"/>
  <c r="F48" i="2"/>
  <c r="G48" i="2" s="1"/>
  <c r="F7" i="2"/>
  <c r="G7" i="2" s="1"/>
  <c r="H7" i="2" s="1"/>
  <c r="F11" i="26" s="1"/>
  <c r="F37" i="2"/>
  <c r="G37" i="2" s="1"/>
  <c r="H37" i="2" s="1"/>
  <c r="F56" i="2"/>
  <c r="G56" i="2" s="1"/>
  <c r="F58" i="2"/>
  <c r="G58" i="2" s="1"/>
  <c r="F57" i="2"/>
  <c r="G57" i="2" s="1"/>
  <c r="F59" i="2"/>
  <c r="G59" i="2" s="1"/>
  <c r="H59" i="2" s="1"/>
  <c r="F168" i="26" s="1"/>
  <c r="F4" i="2"/>
  <c r="G4" i="2" s="1"/>
  <c r="F10" i="2"/>
  <c r="G10" i="2" s="1"/>
  <c r="F12" i="2"/>
  <c r="G12" i="2" s="1"/>
  <c r="F60" i="2"/>
  <c r="G60" i="2" s="1"/>
  <c r="F61" i="2"/>
  <c r="G61" i="2" s="1"/>
  <c r="F18" i="2"/>
  <c r="G18" i="2" s="1"/>
  <c r="F23" i="2"/>
  <c r="G23" i="2" s="1"/>
  <c r="F19" i="2"/>
  <c r="G19" i="2" s="1"/>
  <c r="F30" i="2"/>
  <c r="G30" i="2" s="1"/>
  <c r="F9" i="2"/>
  <c r="G9" i="2" s="1"/>
  <c r="F46" i="2"/>
  <c r="G46" i="2" s="1"/>
  <c r="F26" i="2"/>
  <c r="G26" i="2" s="1"/>
  <c r="F49" i="2"/>
  <c r="G49" i="2" s="1"/>
  <c r="F51" i="2"/>
  <c r="G51" i="2" s="1"/>
  <c r="F17" i="2"/>
  <c r="G17" i="2" s="1"/>
  <c r="F34" i="2"/>
  <c r="G34" i="2" s="1"/>
  <c r="F3" i="2"/>
  <c r="G3" i="2" s="1"/>
  <c r="F63" i="2"/>
  <c r="G63" i="2" s="1"/>
  <c r="F25" i="2"/>
  <c r="G25" i="2" s="1"/>
  <c r="F33" i="2"/>
  <c r="G33" i="2" s="1"/>
  <c r="AR100" i="21" l="1" a="1"/>
  <c r="M109" i="26"/>
  <c r="M86" i="26"/>
  <c r="M13" i="26"/>
  <c r="M136" i="26"/>
  <c r="M132" i="26"/>
  <c r="F100" i="21" a="1"/>
  <c r="F100" i="21" s="1"/>
  <c r="J27" i="26"/>
  <c r="M11" i="26"/>
  <c r="J11" i="26"/>
  <c r="H45" i="2"/>
  <c r="F118" i="26" s="1"/>
  <c r="H66" i="2"/>
  <c r="F255" i="26" s="1"/>
  <c r="H12" i="2"/>
  <c r="F23" i="26" s="1"/>
  <c r="H63" i="2"/>
  <c r="F175" i="26" s="1"/>
  <c r="H34" i="2"/>
  <c r="F92" i="26" s="1"/>
  <c r="H26" i="2"/>
  <c r="F76" i="26" s="1"/>
  <c r="H25" i="2"/>
  <c r="F75" i="26" s="1"/>
  <c r="H10" i="2"/>
  <c r="F17" i="26" s="1"/>
  <c r="H49" i="2"/>
  <c r="F126" i="26" s="1"/>
  <c r="H39" i="2"/>
  <c r="L100" i="21" s="1" a="1"/>
  <c r="L100" i="21" s="1"/>
  <c r="H36" i="2"/>
  <c r="F94" i="26" s="1"/>
  <c r="H54" i="2"/>
  <c r="F135" i="26" s="1"/>
  <c r="H17" i="2"/>
  <c r="F41" i="26" s="1"/>
  <c r="H33" i="2"/>
  <c r="H47" i="2"/>
  <c r="F122" i="26" s="1"/>
  <c r="H51" i="2"/>
  <c r="F128" i="26" s="1"/>
  <c r="H58" i="2"/>
  <c r="F167" i="26" s="1"/>
  <c r="H3" i="2"/>
  <c r="F3" i="26" s="1"/>
  <c r="H41" i="2"/>
  <c r="F105" i="26" s="1"/>
  <c r="H46" i="2"/>
  <c r="F121" i="26" s="1"/>
  <c r="H4" i="2"/>
  <c r="F5" i="26" s="1"/>
  <c r="H64" i="2"/>
  <c r="F249" i="26" s="1"/>
  <c r="H57" i="2"/>
  <c r="F166" i="26" s="1"/>
  <c r="H56" i="2"/>
  <c r="F165" i="26" s="1"/>
  <c r="H48" i="2"/>
  <c r="F125" i="26" s="1"/>
  <c r="H27" i="2"/>
  <c r="F77" i="26" s="1"/>
  <c r="H9" i="2"/>
  <c r="F16" i="26" s="1"/>
  <c r="H16" i="2"/>
  <c r="F40" i="26" s="1"/>
  <c r="H22" i="2"/>
  <c r="H30" i="2"/>
  <c r="F84" i="26" s="1"/>
  <c r="H20" i="2"/>
  <c r="F46" i="26" s="1"/>
  <c r="H19" i="2"/>
  <c r="F43" i="26" s="1"/>
  <c r="H14" i="2"/>
  <c r="F26" i="26" s="1"/>
  <c r="H21" i="2"/>
  <c r="H23" i="2"/>
  <c r="F73" i="26" s="1"/>
  <c r="H50" i="2"/>
  <c r="F127" i="26" s="1"/>
  <c r="H13" i="2"/>
  <c r="F24" i="26" s="1"/>
  <c r="H18" i="2"/>
  <c r="F42" i="26" s="1"/>
  <c r="H28" i="2"/>
  <c r="AQ100" i="21" s="1" a="1"/>
  <c r="AQ100" i="21" s="1"/>
  <c r="H11" i="2"/>
  <c r="F19" i="26" s="1"/>
  <c r="H61" i="2"/>
  <c r="F171" i="26" s="1"/>
  <c r="H31" i="2"/>
  <c r="H60" i="2"/>
  <c r="F170" i="26" s="1"/>
  <c r="H67" i="2"/>
  <c r="F266" i="26" s="1"/>
  <c r="O169" i="24"/>
  <c r="N78" i="28" s="1"/>
  <c r="O78" i="28" s="1"/>
  <c r="K100" i="21" a="1"/>
  <c r="K100" i="21" s="1"/>
  <c r="E100" i="21" a="1"/>
  <c r="O100" i="21" a="1"/>
  <c r="O100" i="21" s="1"/>
  <c r="U100" i="21" a="1"/>
  <c r="U100" i="21" s="1"/>
  <c r="S100" i="21" a="1"/>
  <c r="S100" i="21" s="1"/>
  <c r="R100" i="21" a="1"/>
  <c r="R100" i="21" s="1"/>
  <c r="BJ100" i="21" l="1" a="1"/>
  <c r="BJ100" i="21" s="1"/>
  <c r="F85" i="26"/>
  <c r="M85" i="26" s="1"/>
  <c r="N71" i="28"/>
  <c r="O71" i="28" s="1"/>
  <c r="AR100" i="21"/>
  <c r="J136" i="26"/>
  <c r="J86" i="26"/>
  <c r="J109" i="26"/>
  <c r="AU100" i="21" a="1"/>
  <c r="M46" i="26"/>
  <c r="AO100" i="21" a="1"/>
  <c r="AO100" i="21" s="1"/>
  <c r="J118" i="26"/>
  <c r="M105" i="26"/>
  <c r="J13" i="26"/>
  <c r="BE100" i="21" a="1"/>
  <c r="BE100" i="21" s="1"/>
  <c r="BA100" i="21" a="1"/>
  <c r="BA100" i="21" s="1"/>
  <c r="BG100" i="21" a="1"/>
  <c r="BG100" i="21" s="1"/>
  <c r="AZ100" i="21" a="1"/>
  <c r="AZ100" i="21" s="1"/>
  <c r="BF100" i="21" a="1"/>
  <c r="BF100" i="21" s="1"/>
  <c r="BB100" i="21" a="1"/>
  <c r="BB100" i="21" s="1"/>
  <c r="AW100" i="21" a="1"/>
  <c r="AW100" i="21" s="1"/>
  <c r="J94" i="26"/>
  <c r="BC100" i="21" a="1"/>
  <c r="BC100" i="21" s="1"/>
  <c r="J122" i="26"/>
  <c r="M266" i="26"/>
  <c r="AV100" i="21" a="1"/>
  <c r="AV100" i="21" s="1"/>
  <c r="J19" i="26"/>
  <c r="J100" i="26"/>
  <c r="BD100" i="21" a="1"/>
  <c r="BD100" i="21" s="1"/>
  <c r="J132" i="26"/>
  <c r="AX100" i="21" a="1"/>
  <c r="AX100" i="21" s="1"/>
  <c r="M165" i="26"/>
  <c r="AN100" i="21" a="1"/>
  <c r="AN100" i="21" s="1"/>
  <c r="AT100" i="21" a="1"/>
  <c r="AP100" i="21" a="1"/>
  <c r="AP100" i="21" s="1"/>
  <c r="BH100" i="21" a="1"/>
  <c r="BH100" i="21" s="1"/>
  <c r="M249" i="26"/>
  <c r="AY100" i="21" a="1"/>
  <c r="AY100" i="21" s="1"/>
  <c r="AS100" i="21" a="1"/>
  <c r="AS100" i="21" s="1"/>
  <c r="M27" i="26"/>
  <c r="AH100" i="21" a="1"/>
  <c r="AH100" i="21" s="1"/>
  <c r="AB100" i="21" a="1"/>
  <c r="AB100" i="21" s="1"/>
  <c r="AD100" i="21" a="1"/>
  <c r="AD100" i="21" s="1"/>
  <c r="AG100" i="21" a="1"/>
  <c r="AG100" i="21" s="1"/>
  <c r="AI100" i="21" a="1"/>
  <c r="AI100" i="21" s="1"/>
  <c r="AK100" i="21" a="1"/>
  <c r="H6" i="25" s="1"/>
  <c r="AF100" i="21" a="1"/>
  <c r="AF100" i="21" s="1"/>
  <c r="M252" i="26"/>
  <c r="J252" i="26"/>
  <c r="M168" i="26"/>
  <c r="J168" i="26"/>
  <c r="AE100" i="21" a="1"/>
  <c r="H5" i="25" s="1"/>
  <c r="V100" i="21" a="1"/>
  <c r="V100" i="21" s="1"/>
  <c r="P100" i="21" a="1"/>
  <c r="P100" i="21" s="1"/>
  <c r="Z100" i="21" a="1"/>
  <c r="Z100" i="21" s="1"/>
  <c r="Q100" i="21" a="1"/>
  <c r="Q100" i="21" s="1"/>
  <c r="N100" i="21" a="1"/>
  <c r="N100" i="21" s="1"/>
  <c r="O162" i="24"/>
  <c r="O164" i="24"/>
  <c r="N55" i="28" s="1"/>
  <c r="O55" i="28" s="1"/>
  <c r="O148" i="24"/>
  <c r="N79" i="28" s="1"/>
  <c r="O79" i="28" s="1"/>
  <c r="O165" i="24"/>
  <c r="O161" i="24"/>
  <c r="N64" i="28" s="1"/>
  <c r="O64" i="28" s="1"/>
  <c r="AJ100" i="21" a="1"/>
  <c r="AJ100" i="21" s="1"/>
  <c r="G100" i="21" a="1"/>
  <c r="G100" i="21" s="1"/>
  <c r="J100" i="21" a="1"/>
  <c r="J100" i="21" s="1"/>
  <c r="H100" i="21" a="1"/>
  <c r="H100" i="21" s="1"/>
  <c r="T100" i="21" a="1"/>
  <c r="T100" i="21" s="1"/>
  <c r="Y100" i="21" a="1"/>
  <c r="Y100" i="21" s="1"/>
  <c r="X100" i="21" a="1"/>
  <c r="X100" i="21" s="1"/>
  <c r="I100" i="21" a="1"/>
  <c r="I100" i="21" s="1"/>
  <c r="E100" i="21"/>
  <c r="N94" i="28" l="1"/>
  <c r="O94" i="28" s="1"/>
  <c r="N37" i="28"/>
  <c r="O37" i="28" s="1"/>
  <c r="N90" i="28"/>
  <c r="O90" i="28" s="1"/>
  <c r="N86" i="28"/>
  <c r="O86" i="28" s="1"/>
  <c r="N96" i="28"/>
  <c r="O96" i="28" s="1"/>
  <c r="N59" i="28"/>
  <c r="O59" i="28" s="1"/>
  <c r="S3" i="28"/>
  <c r="AK100" i="21"/>
  <c r="AE100" i="21"/>
  <c r="AU100" i="21"/>
  <c r="J46" i="26"/>
  <c r="M94" i="26"/>
  <c r="M100" i="26"/>
  <c r="M118" i="26"/>
  <c r="J266" i="26"/>
  <c r="J85" i="26"/>
  <c r="M122" i="26"/>
  <c r="J105" i="26"/>
  <c r="J165" i="26"/>
  <c r="AT100" i="21"/>
  <c r="J249" i="26"/>
  <c r="M255" i="26"/>
  <c r="J255" i="26"/>
  <c r="M23" i="26"/>
  <c r="J23" i="26"/>
  <c r="M175" i="26"/>
  <c r="J175" i="26"/>
  <c r="M92" i="26"/>
  <c r="J92" i="26"/>
  <c r="M76" i="26"/>
  <c r="J76" i="26"/>
  <c r="M75" i="26"/>
  <c r="J75" i="26"/>
  <c r="M17" i="26"/>
  <c r="J17" i="26"/>
  <c r="M126" i="26"/>
  <c r="J126" i="26"/>
  <c r="M135" i="26"/>
  <c r="J135" i="26"/>
  <c r="M41" i="26"/>
  <c r="J41" i="26"/>
  <c r="M128" i="26"/>
  <c r="J128" i="26"/>
  <c r="M167" i="26"/>
  <c r="J167" i="26"/>
  <c r="M3" i="26"/>
  <c r="J3" i="26"/>
  <c r="M121" i="26"/>
  <c r="J121" i="26"/>
  <c r="M5" i="26"/>
  <c r="J5" i="26"/>
  <c r="M166" i="26"/>
  <c r="J166" i="26"/>
  <c r="M125" i="26"/>
  <c r="J125" i="26"/>
  <c r="M77" i="26"/>
  <c r="J77" i="26"/>
  <c r="M16" i="26"/>
  <c r="J16" i="26"/>
  <c r="M40" i="26"/>
  <c r="J40" i="26"/>
  <c r="M84" i="26"/>
  <c r="J84" i="26"/>
  <c r="M43" i="26"/>
  <c r="J43" i="26"/>
  <c r="M26" i="26"/>
  <c r="J26" i="26"/>
  <c r="M73" i="26"/>
  <c r="J73" i="26"/>
  <c r="M127" i="26"/>
  <c r="J127" i="26"/>
  <c r="M24" i="26"/>
  <c r="J24" i="26"/>
  <c r="M42" i="26"/>
  <c r="J42" i="26"/>
  <c r="M171" i="26"/>
  <c r="J171" i="26"/>
  <c r="M170" i="26"/>
  <c r="J170" i="26"/>
  <c r="Q3" i="28" l="1"/>
  <c r="O3" i="28"/>
  <c r="M39" i="26"/>
  <c r="J39" i="26" l="1"/>
  <c r="M299" i="26"/>
  <c r="M301" i="26"/>
  <c r="J301" i="26"/>
  <c r="K212" i="27" l="1"/>
  <c r="K213" i="27"/>
  <c r="J299" i="26"/>
  <c r="K202" i="27"/>
  <c r="C202" i="27"/>
  <c r="L202" i="27" s="1"/>
  <c r="K204" i="27"/>
  <c r="C204" i="27"/>
  <c r="L204" i="27" s="1"/>
  <c r="K209" i="27"/>
  <c r="C209" i="27"/>
  <c r="L209" i="27" s="1"/>
  <c r="B136" i="27"/>
  <c r="K136" i="27" s="1"/>
  <c r="C191" i="27"/>
  <c r="L191" i="27" s="1"/>
  <c r="B191" i="27"/>
  <c r="K191" i="27" s="1"/>
  <c r="C63" i="27"/>
  <c r="L63" i="27" s="1"/>
  <c r="B63" i="27"/>
  <c r="K63" i="27" s="1"/>
  <c r="B28" i="27"/>
  <c r="K28" i="27" s="1"/>
  <c r="C28" i="27"/>
  <c r="L28" i="27" s="1"/>
  <c r="L18" i="27"/>
  <c r="K18" i="27"/>
  <c r="K197" i="27"/>
  <c r="C197" i="27"/>
  <c r="L197" i="27" s="1"/>
  <c r="K211" i="27"/>
  <c r="C211" i="27"/>
  <c r="L211" i="27" s="1"/>
  <c r="C201" i="27"/>
  <c r="L201" i="27" s="1"/>
  <c r="K201" i="27"/>
  <c r="B60" i="27"/>
  <c r="K60" i="27" s="1"/>
  <c r="C60" i="27"/>
  <c r="L60" i="27" s="1"/>
  <c r="C203" i="27"/>
  <c r="L203" i="27" s="1"/>
  <c r="K203" i="27"/>
  <c r="K186" i="27"/>
  <c r="C186" i="27"/>
  <c r="L186" i="27" s="1"/>
  <c r="K206" i="27"/>
  <c r="C206" i="27"/>
  <c r="L206" i="27" s="1"/>
  <c r="K195" i="27"/>
  <c r="C195" i="27"/>
  <c r="L195" i="27" s="1"/>
  <c r="C169" i="27"/>
  <c r="L169" i="27" s="1"/>
  <c r="B169" i="27"/>
  <c r="K169" i="27" s="1"/>
  <c r="C55" i="27"/>
  <c r="L55" i="27" s="1"/>
  <c r="B55" i="27"/>
  <c r="K55" i="27" s="1"/>
  <c r="C44" i="27"/>
  <c r="L44" i="27" s="1"/>
  <c r="B44" i="27"/>
  <c r="K44" i="27" s="1"/>
  <c r="K190" i="27"/>
  <c r="C190" i="27"/>
  <c r="L190" i="27" s="1"/>
  <c r="C45" i="27"/>
  <c r="L45" i="27" s="1"/>
  <c r="B45" i="27"/>
  <c r="K45" i="27" s="1"/>
  <c r="C187" i="27"/>
  <c r="L187" i="27" s="1"/>
  <c r="K187" i="27"/>
  <c r="K199" i="27"/>
  <c r="C199" i="27"/>
  <c r="L199" i="27" s="1"/>
  <c r="C189" i="27"/>
  <c r="L189" i="27" s="1"/>
  <c r="K189" i="27"/>
  <c r="B46" i="27"/>
  <c r="K46" i="27" s="1"/>
  <c r="C46" i="27"/>
  <c r="L46" i="27" s="1"/>
  <c r="K193" i="27"/>
  <c r="C193" i="27"/>
  <c r="L193" i="27" s="1"/>
  <c r="C207" i="27"/>
  <c r="L207" i="27" s="1"/>
  <c r="K207" i="27"/>
  <c r="C75" i="27"/>
  <c r="L75" i="27" s="1"/>
  <c r="B75" i="27"/>
  <c r="K75" i="27" s="1"/>
  <c r="B149" i="27"/>
  <c r="K149" i="27" s="1"/>
  <c r="C134" i="27"/>
  <c r="L134" i="27" s="1"/>
  <c r="B134" i="27"/>
  <c r="K134" i="27" s="1"/>
  <c r="B25" i="27"/>
  <c r="K25" i="27" s="1"/>
  <c r="B72" i="27"/>
  <c r="K72" i="27" s="1"/>
  <c r="C210" i="27"/>
  <c r="L210" i="27" s="1"/>
  <c r="K210" i="27"/>
  <c r="B116" i="27"/>
  <c r="K116" i="27" s="1"/>
  <c r="L27" i="27"/>
  <c r="K27" i="27"/>
  <c r="B177" i="27"/>
  <c r="K177" i="27" s="1"/>
  <c r="B47" i="27"/>
  <c r="K47" i="27" s="1"/>
  <c r="B61" i="27"/>
  <c r="K61" i="27" s="1"/>
  <c r="C61" i="27"/>
  <c r="L61" i="27" s="1"/>
  <c r="B113" i="27"/>
  <c r="K113" i="27" s="1"/>
  <c r="C89" i="27"/>
  <c r="L89" i="27" s="1"/>
  <c r="B89" i="27"/>
  <c r="K89" i="27" s="1"/>
  <c r="B122" i="27"/>
  <c r="K122" i="27" s="1"/>
  <c r="B157" i="27"/>
  <c r="K157" i="27" s="1"/>
  <c r="B14" i="27"/>
  <c r="K14" i="27" s="1"/>
  <c r="B73" i="27"/>
  <c r="K73" i="27" s="1"/>
  <c r="B183" i="27"/>
  <c r="K183" i="27" s="1"/>
  <c r="B29" i="27"/>
  <c r="K29" i="27" s="1"/>
  <c r="B175" i="27"/>
  <c r="K175" i="27" s="1"/>
  <c r="K200" i="27"/>
  <c r="C200" i="27"/>
  <c r="L200" i="27" s="1"/>
  <c r="B164" i="27"/>
  <c r="K164" i="27" s="1"/>
  <c r="B147" i="27"/>
  <c r="K147" i="27" s="1"/>
  <c r="C147" i="27"/>
  <c r="L147" i="27" s="1"/>
  <c r="B94" i="27"/>
  <c r="K94" i="27" s="1"/>
  <c r="B48" i="27"/>
  <c r="K48" i="27" s="1"/>
  <c r="B23" i="27"/>
  <c r="K23" i="27" s="1"/>
  <c r="B10" i="27"/>
  <c r="K10" i="27" s="1"/>
  <c r="L17" i="27"/>
  <c r="K17" i="27"/>
  <c r="B181" i="27"/>
  <c r="K181" i="27" s="1"/>
  <c r="B121" i="27"/>
  <c r="K121" i="27" s="1"/>
  <c r="B65" i="27"/>
  <c r="K65" i="27" s="1"/>
  <c r="K196" i="27"/>
  <c r="C196" i="27"/>
  <c r="L196" i="27" s="1"/>
  <c r="B12" i="27"/>
  <c r="K12" i="27" s="1"/>
  <c r="C51" i="27"/>
  <c r="L51" i="27" s="1"/>
  <c r="B51" i="27"/>
  <c r="K51" i="27" s="1"/>
  <c r="B91" i="27"/>
  <c r="K91" i="27" s="1"/>
  <c r="B76" i="27"/>
  <c r="K76" i="27" s="1"/>
  <c r="C50" i="27"/>
  <c r="L50" i="27" s="1"/>
  <c r="B50" i="27"/>
  <c r="K50" i="27" s="1"/>
  <c r="C58" i="27"/>
  <c r="L58" i="27" s="1"/>
  <c r="B58" i="27"/>
  <c r="K58" i="27" s="1"/>
  <c r="B67" i="27"/>
  <c r="K67" i="27" s="1"/>
  <c r="K20" i="27"/>
  <c r="L20" i="27"/>
  <c r="B43" i="27"/>
  <c r="K43" i="27" s="1"/>
  <c r="B77" i="27"/>
  <c r="K77" i="27" s="1"/>
  <c r="B133" i="27"/>
  <c r="K133" i="27" s="1"/>
  <c r="C133" i="27"/>
  <c r="L133" i="27" s="1"/>
  <c r="B24" i="27"/>
  <c r="K24" i="27" s="1"/>
  <c r="B179" i="27"/>
  <c r="K179" i="27" s="1"/>
  <c r="B182" i="27"/>
  <c r="K182" i="27" s="1"/>
  <c r="B30" i="27"/>
  <c r="K30" i="27" s="1"/>
  <c r="B40" i="27"/>
  <c r="K40" i="27" s="1"/>
  <c r="B49" i="27"/>
  <c r="K49" i="27" s="1"/>
  <c r="B7" i="27"/>
  <c r="K7" i="27" s="1"/>
  <c r="B59" i="27"/>
  <c r="K59" i="27" s="1"/>
  <c r="K198" i="27"/>
  <c r="C198" i="27"/>
  <c r="L198" i="27" s="1"/>
  <c r="B70" i="27"/>
  <c r="K70" i="27" s="1"/>
  <c r="B92" i="27"/>
  <c r="K92" i="27" s="1"/>
  <c r="C138" i="27"/>
  <c r="L138" i="27" s="1"/>
  <c r="B138" i="27"/>
  <c r="K138" i="27" s="1"/>
  <c r="B166" i="27"/>
  <c r="K166" i="27" s="1"/>
  <c r="B68" i="27"/>
  <c r="K68" i="27" s="1"/>
  <c r="K205" i="27"/>
  <c r="C205" i="27"/>
  <c r="L205" i="27" s="1"/>
  <c r="K188" i="27"/>
  <c r="C188" i="27"/>
  <c r="L188" i="27" s="1"/>
  <c r="C192" i="27"/>
  <c r="L192" i="27" s="1"/>
  <c r="K192" i="27"/>
  <c r="B154" i="27"/>
  <c r="K154" i="27" s="1"/>
  <c r="C194" i="27"/>
  <c r="L194" i="27" s="1"/>
  <c r="K194" i="27"/>
  <c r="B156" i="27"/>
  <c r="K156" i="27" s="1"/>
  <c r="K38" i="27"/>
  <c r="L38" i="27"/>
  <c r="B148" i="27"/>
  <c r="K148" i="27" s="1"/>
  <c r="C148" i="27"/>
  <c r="L148" i="27" s="1"/>
  <c r="B184" i="27"/>
  <c r="K184" i="27" s="1"/>
  <c r="C184" i="27"/>
  <c r="L184" i="27" s="1"/>
  <c r="B155" i="27"/>
  <c r="K155" i="27" s="1"/>
  <c r="B71" i="27"/>
  <c r="K71" i="27" s="1"/>
  <c r="B26" i="27"/>
  <c r="K26" i="27" s="1"/>
  <c r="B127" i="27"/>
  <c r="K127" i="27" s="1"/>
  <c r="C127" i="27"/>
  <c r="L127" i="27" s="1"/>
  <c r="C90" i="27"/>
  <c r="L90" i="27" s="1"/>
  <c r="B90" i="27"/>
  <c r="K90" i="27" s="1"/>
  <c r="B8" i="27"/>
  <c r="K8" i="27" s="1"/>
  <c r="B34" i="27"/>
  <c r="K34" i="27" s="1"/>
  <c r="L176" i="27"/>
  <c r="K176" i="27"/>
  <c r="B41" i="27"/>
  <c r="K41" i="27" s="1"/>
  <c r="B168" i="27"/>
  <c r="K168" i="27" s="1"/>
  <c r="B140" i="27"/>
  <c r="K140" i="27" s="1"/>
  <c r="C140" i="27"/>
  <c r="L140" i="27" s="1"/>
  <c r="B31" i="27"/>
  <c r="K31" i="27" s="1"/>
  <c r="K208" i="27"/>
  <c r="C208" i="27"/>
  <c r="L208" i="27" s="1"/>
  <c r="B37" i="27"/>
  <c r="K37" i="27" s="1"/>
  <c r="B180" i="27"/>
  <c r="K180" i="27" s="1"/>
  <c r="B66" i="27"/>
  <c r="K66" i="27" s="1"/>
  <c r="C66" i="27"/>
  <c r="L66" i="27" s="1"/>
  <c r="B162" i="27"/>
  <c r="K162" i="27" s="1"/>
  <c r="B42" i="27"/>
  <c r="K42" i="27" s="1"/>
  <c r="B115" i="27"/>
  <c r="K115" i="27" s="1"/>
  <c r="B153" i="27"/>
  <c r="K153" i="27" s="1"/>
  <c r="B69" i="27"/>
  <c r="K69" i="27" s="1"/>
  <c r="B9" i="27"/>
  <c r="K9" i="27" s="1"/>
  <c r="B178" i="27"/>
  <c r="K178" i="27" s="1"/>
  <c r="B13" i="27"/>
  <c r="K13" i="27" s="1"/>
  <c r="B15" i="27"/>
  <c r="K15" i="27" s="1"/>
  <c r="B159" i="27"/>
  <c r="K159" i="27" s="1"/>
  <c r="B11" i="27"/>
  <c r="K11" i="27" s="1"/>
  <c r="B22" i="27"/>
  <c r="K22" i="27" s="1"/>
  <c r="B93" i="27"/>
  <c r="K93" i="27" s="1"/>
  <c r="B120" i="27"/>
  <c r="K120" i="27" s="1"/>
  <c r="B35" i="27"/>
  <c r="K35" i="27" s="1"/>
  <c r="B158" i="27"/>
  <c r="K158" i="27" s="1"/>
  <c r="B160" i="27"/>
  <c r="K160" i="27" s="1"/>
  <c r="B62" i="27"/>
  <c r="K62" i="27" s="1"/>
  <c r="C62" i="27"/>
  <c r="L62" i="27" s="1"/>
  <c r="C95" i="27"/>
  <c r="L95" i="27" s="1"/>
  <c r="B95" i="27"/>
  <c r="K95" i="27" s="1"/>
  <c r="K3" i="27"/>
  <c r="C118" i="27"/>
  <c r="L118" i="27" s="1"/>
  <c r="B118" i="27"/>
  <c r="K118" i="27" s="1"/>
  <c r="B64" i="27"/>
  <c r="K64" i="27" s="1"/>
  <c r="C64" i="27"/>
  <c r="L64" i="27" s="1"/>
  <c r="C152" i="27"/>
  <c r="L152" i="27" s="1"/>
  <c r="B152" i="27"/>
  <c r="K152" i="27" s="1"/>
  <c r="C123" i="27"/>
  <c r="L123" i="27" s="1"/>
  <c r="B123" i="27"/>
  <c r="K123" i="27" s="1"/>
  <c r="B97" i="27"/>
  <c r="K97" i="27" s="1"/>
  <c r="C97" i="27"/>
  <c r="L97" i="27" s="1"/>
  <c r="B103" i="27"/>
  <c r="K103" i="27" s="1"/>
  <c r="C103" i="27"/>
  <c r="L103" i="27" s="1"/>
  <c r="C119" i="27"/>
  <c r="L119" i="27" s="1"/>
  <c r="B119" i="27"/>
  <c r="K119" i="27" s="1"/>
  <c r="B16" i="27"/>
  <c r="K16" i="27" s="1"/>
  <c r="C16" i="27"/>
  <c r="L16" i="27" s="1"/>
  <c r="B100" i="27"/>
  <c r="K100" i="27" s="1"/>
  <c r="C100" i="27"/>
  <c r="L100" i="27" s="1"/>
  <c r="C124" i="27"/>
  <c r="L124" i="27" s="1"/>
  <c r="B124" i="27"/>
  <c r="K124" i="27" s="1"/>
  <c r="B146" i="27"/>
  <c r="K146" i="27" s="1"/>
  <c r="C146" i="27"/>
  <c r="L146" i="27" s="1"/>
  <c r="K4" i="27"/>
  <c r="C150" i="27"/>
  <c r="L150" i="27" s="1"/>
  <c r="B150" i="27"/>
  <c r="K150" i="27" s="1"/>
  <c r="B135" i="27"/>
  <c r="K135" i="27" s="1"/>
  <c r="C135" i="27"/>
  <c r="L135" i="27" s="1"/>
  <c r="L139" i="27"/>
  <c r="C111" i="27"/>
  <c r="L111" i="27" s="1"/>
  <c r="B111" i="27"/>
  <c r="K111" i="27" s="1"/>
  <c r="C6" i="27"/>
  <c r="L6" i="27" s="1"/>
  <c r="B6" i="27"/>
  <c r="K6" i="27" s="1"/>
  <c r="B102" i="27"/>
  <c r="K102" i="27" s="1"/>
  <c r="C102" i="27"/>
  <c r="L102" i="27" s="1"/>
  <c r="C96" i="27"/>
  <c r="L96" i="27" s="1"/>
  <c r="B96" i="27"/>
  <c r="K96" i="27" s="1"/>
  <c r="C98" i="27"/>
  <c r="L98" i="27" s="1"/>
  <c r="B98" i="27"/>
  <c r="K98" i="27" s="1"/>
  <c r="C130" i="27"/>
  <c r="L130" i="27" s="1"/>
  <c r="B130" i="27"/>
  <c r="K130" i="27" s="1"/>
  <c r="L163" i="27"/>
  <c r="B163" i="27"/>
  <c r="K163" i="27" s="1"/>
  <c r="B145" i="27"/>
  <c r="K145" i="27" s="1"/>
  <c r="C145" i="27"/>
  <c r="L145" i="27" s="1"/>
  <c r="L132" i="27"/>
  <c r="B54" i="27"/>
  <c r="K54" i="27" s="1"/>
  <c r="C54" i="27"/>
  <c r="L54" i="27" s="1"/>
  <c r="C110" i="27"/>
  <c r="L110" i="27" s="1"/>
  <c r="B110" i="27"/>
  <c r="K110" i="27" s="1"/>
  <c r="L32" i="27"/>
  <c r="C131" i="27"/>
  <c r="L131" i="27" s="1"/>
  <c r="B131" i="27"/>
  <c r="K131" i="27" s="1"/>
  <c r="C101" i="27"/>
  <c r="L101" i="27" s="1"/>
  <c r="B101" i="27"/>
  <c r="K101" i="27" s="1"/>
  <c r="B165" i="27"/>
  <c r="K165" i="27" s="1"/>
  <c r="C165" i="27"/>
  <c r="L165" i="27" s="1"/>
  <c r="D201" i="21" a="1"/>
  <c r="L170" i="24" l="1"/>
  <c r="F271" i="26" s="1"/>
  <c r="L129" i="24"/>
  <c r="L130" i="24"/>
  <c r="R130" i="24" s="1"/>
  <c r="L199" i="24"/>
  <c r="F172" i="26" s="1"/>
  <c r="L203" i="24"/>
  <c r="F117" i="26" s="1"/>
  <c r="L180" i="24"/>
  <c r="F138" i="26" s="1"/>
  <c r="L189" i="24"/>
  <c r="F163" i="26" s="1"/>
  <c r="L167" i="24"/>
  <c r="F261" i="26" s="1"/>
  <c r="L173" i="24"/>
  <c r="F119" i="26" s="1"/>
  <c r="L172" i="24"/>
  <c r="F110" i="26" s="1"/>
  <c r="L179" i="24"/>
  <c r="F137" i="26" s="1"/>
  <c r="L178" i="24"/>
  <c r="F134" i="26" s="1"/>
  <c r="L188" i="24"/>
  <c r="F38" i="26" s="1"/>
  <c r="L190" i="24"/>
  <c r="F162" i="26" s="1"/>
  <c r="L154" i="24"/>
  <c r="F47" i="26" s="1"/>
  <c r="L191" i="24"/>
  <c r="F164" i="26" s="1"/>
  <c r="L174" i="24"/>
  <c r="F120" i="26" s="1"/>
  <c r="L176" i="24"/>
  <c r="F124" i="26" s="1"/>
  <c r="L151" i="24"/>
  <c r="F20" i="26" s="1"/>
  <c r="L169" i="24"/>
  <c r="F37" i="26" s="1"/>
  <c r="L184" i="24"/>
  <c r="F253" i="26" s="1"/>
  <c r="L166" i="24"/>
  <c r="F95" i="26" s="1"/>
  <c r="L149" i="24"/>
  <c r="F14" i="26" s="1"/>
  <c r="L148" i="24"/>
  <c r="F32" i="26" s="1"/>
  <c r="L152" i="24"/>
  <c r="F25" i="26" s="1"/>
  <c r="L162" i="24"/>
  <c r="F34" i="26" s="1"/>
  <c r="L177" i="24"/>
  <c r="F133" i="26" s="1"/>
  <c r="L204" i="24"/>
  <c r="L160" i="24"/>
  <c r="F260" i="26" s="1"/>
  <c r="L159" i="24"/>
  <c r="F259" i="26" s="1"/>
  <c r="L153" i="24"/>
  <c r="L168" i="24"/>
  <c r="F101" i="26" s="1"/>
  <c r="L181" i="24"/>
  <c r="F250" i="26" s="1"/>
  <c r="L164" i="24"/>
  <c r="F35" i="26" s="1"/>
  <c r="L157" i="24"/>
  <c r="F53" i="26" s="1"/>
  <c r="L198" i="24"/>
  <c r="F83" i="26" s="1"/>
  <c r="L161" i="24"/>
  <c r="F33" i="26" s="1"/>
  <c r="L187" i="24"/>
  <c r="F268" i="26" s="1"/>
  <c r="L171" i="24"/>
  <c r="F111" i="26" s="1"/>
  <c r="L200" i="24"/>
  <c r="F108" i="26" s="1"/>
  <c r="D201" i="21"/>
  <c r="L196" i="24"/>
  <c r="F99" i="26" s="1"/>
  <c r="L202" i="24"/>
  <c r="L183" i="24"/>
  <c r="F262" i="26" s="1"/>
  <c r="L155" i="24"/>
  <c r="F48" i="26" s="1"/>
  <c r="L185" i="24"/>
  <c r="F256" i="26" s="1"/>
  <c r="L156" i="24"/>
  <c r="L175" i="24"/>
  <c r="F123" i="26" s="1"/>
  <c r="L147" i="24"/>
  <c r="F9" i="26" s="1"/>
  <c r="L146" i="24"/>
  <c r="F8" i="26" s="1"/>
  <c r="L165" i="24"/>
  <c r="F36" i="26" s="1"/>
  <c r="L182" i="24"/>
  <c r="F251" i="26" s="1"/>
  <c r="L186" i="24"/>
  <c r="F267" i="26" s="1"/>
  <c r="L158" i="24"/>
  <c r="F78" i="26" s="1"/>
  <c r="L150" i="24"/>
  <c r="F15" i="26" s="1"/>
  <c r="L201" i="24"/>
  <c r="L205" i="24"/>
  <c r="F129" i="26" s="1"/>
  <c r="L163" i="24"/>
  <c r="F87" i="26" s="1"/>
  <c r="R170" i="24" l="1"/>
  <c r="U170" i="24" s="1"/>
  <c r="F12" i="26"/>
  <c r="R197" i="24"/>
  <c r="U130" i="24"/>
  <c r="T130" i="24"/>
  <c r="H220" i="28"/>
  <c r="R129" i="24"/>
  <c r="F49" i="26"/>
  <c r="F50" i="26"/>
  <c r="F90" i="26"/>
  <c r="F91" i="26"/>
  <c r="F51" i="26"/>
  <c r="F52" i="26"/>
  <c r="F81" i="26"/>
  <c r="F82" i="26"/>
  <c r="F98" i="26"/>
  <c r="F97" i="26"/>
  <c r="H123" i="28"/>
  <c r="I123" i="28" s="1"/>
  <c r="U123" i="28" s="1"/>
  <c r="V123" i="28" s="1"/>
  <c r="H122" i="28"/>
  <c r="I122" i="28" s="1"/>
  <c r="U122" i="28" s="1"/>
  <c r="V122" i="28" s="1"/>
  <c r="H121" i="28"/>
  <c r="I121" i="28" s="1"/>
  <c r="U121" i="28" s="1"/>
  <c r="V121" i="28" s="1"/>
  <c r="H59" i="28"/>
  <c r="I59" i="28" s="1"/>
  <c r="U59" i="28" s="1"/>
  <c r="V59" i="28" s="1"/>
  <c r="R191" i="24"/>
  <c r="U191" i="24" s="1"/>
  <c r="R181" i="24"/>
  <c r="U181" i="24" s="1"/>
  <c r="R190" i="24"/>
  <c r="U190" i="24" s="1"/>
  <c r="R188" i="24"/>
  <c r="U188" i="24" s="1"/>
  <c r="R175" i="24"/>
  <c r="U175" i="24" s="1"/>
  <c r="R178" i="24"/>
  <c r="U178" i="24" s="1"/>
  <c r="R154" i="24"/>
  <c r="U154" i="24" s="1"/>
  <c r="R179" i="24"/>
  <c r="U179" i="24" s="1"/>
  <c r="R168" i="24"/>
  <c r="U168" i="24" s="1"/>
  <c r="R172" i="24"/>
  <c r="U172" i="24" s="1"/>
  <c r="R155" i="24"/>
  <c r="U155" i="24" s="1"/>
  <c r="R163" i="24"/>
  <c r="U163" i="24" s="1"/>
  <c r="R173" i="24"/>
  <c r="U173" i="24" s="1"/>
  <c r="R147" i="24"/>
  <c r="U147" i="24" s="1"/>
  <c r="R183" i="24"/>
  <c r="U183" i="24" s="1"/>
  <c r="R200" i="24"/>
  <c r="U200" i="24" s="1"/>
  <c r="R167" i="24"/>
  <c r="U167" i="24" s="1"/>
  <c r="R153" i="24"/>
  <c r="U153" i="24" s="1"/>
  <c r="R202" i="24"/>
  <c r="U202" i="24" s="1"/>
  <c r="R152" i="24"/>
  <c r="U152" i="24" s="1"/>
  <c r="R171" i="24"/>
  <c r="U171" i="24" s="1"/>
  <c r="R149" i="24"/>
  <c r="U149" i="24" s="1"/>
  <c r="R189" i="24"/>
  <c r="U189" i="24" s="1"/>
  <c r="R174" i="24"/>
  <c r="U174" i="24" s="1"/>
  <c r="R204" i="24"/>
  <c r="U204" i="24" s="1"/>
  <c r="R201" i="24"/>
  <c r="U201" i="24" s="1"/>
  <c r="R187" i="24"/>
  <c r="U187" i="24" s="1"/>
  <c r="R166" i="24"/>
  <c r="U166" i="24" s="1"/>
  <c r="R180" i="24"/>
  <c r="U180" i="24" s="1"/>
  <c r="R160" i="24"/>
  <c r="U160" i="24" s="1"/>
  <c r="R162" i="24"/>
  <c r="U162" i="24" s="1"/>
  <c r="R186" i="24"/>
  <c r="U186" i="24" s="1"/>
  <c r="R161" i="24"/>
  <c r="U161" i="24" s="1"/>
  <c r="H72" i="2"/>
  <c r="AC100" i="21" s="1" a="1"/>
  <c r="AC100" i="21" s="1"/>
  <c r="R184" i="24"/>
  <c r="U184" i="24" s="1"/>
  <c r="R203" i="24"/>
  <c r="U203" i="24" s="1"/>
  <c r="R185" i="24"/>
  <c r="U185" i="24" s="1"/>
  <c r="R205" i="24"/>
  <c r="U205" i="24" s="1"/>
  <c r="R158" i="24"/>
  <c r="U158" i="24" s="1"/>
  <c r="R198" i="24"/>
  <c r="U198" i="24" s="1"/>
  <c r="R169" i="24"/>
  <c r="U169" i="24" s="1"/>
  <c r="R199" i="24"/>
  <c r="U199" i="24" s="1"/>
  <c r="R159" i="24"/>
  <c r="U159" i="24" s="1"/>
  <c r="R196" i="24"/>
  <c r="U196" i="24" s="1"/>
  <c r="R150" i="24"/>
  <c r="U150" i="24" s="1"/>
  <c r="R182" i="24"/>
  <c r="U182" i="24" s="1"/>
  <c r="R165" i="24"/>
  <c r="U165" i="24" s="1"/>
  <c r="R157" i="24"/>
  <c r="U157" i="24" s="1"/>
  <c r="R151" i="24"/>
  <c r="U151" i="24" s="1"/>
  <c r="R156" i="24"/>
  <c r="U156" i="24" s="1"/>
  <c r="R177" i="24"/>
  <c r="U177" i="24" s="1"/>
  <c r="R148" i="24"/>
  <c r="U148" i="24" s="1"/>
  <c r="R146" i="24"/>
  <c r="U146" i="24" s="1"/>
  <c r="R164" i="24"/>
  <c r="U164" i="24" s="1"/>
  <c r="H71" i="2"/>
  <c r="AA100" i="21" s="1" a="1"/>
  <c r="R176" i="24"/>
  <c r="U176" i="24" s="1"/>
  <c r="M271" i="26"/>
  <c r="J271" i="26"/>
  <c r="T170" i="24" l="1"/>
  <c r="U129" i="24"/>
  <c r="T129" i="24"/>
  <c r="U197" i="24"/>
  <c r="T197" i="24"/>
  <c r="L78" i="27" s="1"/>
  <c r="M12" i="26"/>
  <c r="J12" i="26"/>
  <c r="M260" i="26"/>
  <c r="J260" i="26"/>
  <c r="T174" i="24"/>
  <c r="J50" i="26"/>
  <c r="M50" i="26"/>
  <c r="J119" i="26"/>
  <c r="M119" i="26"/>
  <c r="M47" i="26"/>
  <c r="J47" i="26"/>
  <c r="M259" i="26"/>
  <c r="J259" i="26"/>
  <c r="T185" i="24"/>
  <c r="C108" i="27" s="1"/>
  <c r="L108" i="27" s="1"/>
  <c r="B108" i="27"/>
  <c r="K108" i="27" s="1"/>
  <c r="T160" i="24"/>
  <c r="J163" i="26"/>
  <c r="M163" i="26"/>
  <c r="J49" i="26"/>
  <c r="M49" i="26"/>
  <c r="M87" i="26"/>
  <c r="J87" i="26"/>
  <c r="T178" i="24"/>
  <c r="J138" i="26"/>
  <c r="M138" i="26"/>
  <c r="T189" i="24"/>
  <c r="M261" i="26"/>
  <c r="J261" i="26"/>
  <c r="J134" i="26"/>
  <c r="M134" i="26"/>
  <c r="M256" i="26"/>
  <c r="J256" i="26"/>
  <c r="J20" i="26"/>
  <c r="M20" i="26"/>
  <c r="T180" i="24"/>
  <c r="T163" i="24"/>
  <c r="J123" i="26"/>
  <c r="M123" i="26"/>
  <c r="T176" i="24"/>
  <c r="T164" i="24"/>
  <c r="M172" i="26"/>
  <c r="J172" i="26"/>
  <c r="B143" i="27"/>
  <c r="K143" i="27" s="1"/>
  <c r="T146" i="24"/>
  <c r="C143" i="27" s="1"/>
  <c r="L143" i="27" s="1"/>
  <c r="J53" i="26"/>
  <c r="M53" i="26"/>
  <c r="B172" i="27"/>
  <c r="K172" i="27" s="1"/>
  <c r="T199" i="24"/>
  <c r="C172" i="27" s="1"/>
  <c r="L172" i="27" s="1"/>
  <c r="J117" i="26"/>
  <c r="M117" i="26"/>
  <c r="T166" i="24"/>
  <c r="C174" i="27" s="1"/>
  <c r="L174" i="27" s="1"/>
  <c r="B174" i="27"/>
  <c r="K174" i="27" s="1"/>
  <c r="B173" i="27"/>
  <c r="K173" i="27" s="1"/>
  <c r="T149" i="24"/>
  <c r="C173" i="27" s="1"/>
  <c r="L173" i="27" s="1"/>
  <c r="T167" i="24"/>
  <c r="T155" i="24"/>
  <c r="B112" i="27"/>
  <c r="K112" i="27" s="1"/>
  <c r="T175" i="24"/>
  <c r="C112" i="27" s="1"/>
  <c r="L112" i="27" s="1"/>
  <c r="T151" i="24"/>
  <c r="C142" i="27" s="1"/>
  <c r="L142" i="27" s="1"/>
  <c r="B142" i="27"/>
  <c r="K142" i="27" s="1"/>
  <c r="M8" i="26"/>
  <c r="J8" i="26"/>
  <c r="T157" i="24"/>
  <c r="T203" i="24"/>
  <c r="M14" i="26"/>
  <c r="J14" i="26"/>
  <c r="T200" i="24"/>
  <c r="C137" i="27" s="1"/>
  <c r="L137" i="27" s="1"/>
  <c r="B137" i="27"/>
  <c r="K137" i="27" s="1"/>
  <c r="M48" i="26"/>
  <c r="J48" i="26"/>
  <c r="T188" i="24"/>
  <c r="J37" i="26"/>
  <c r="M37" i="26"/>
  <c r="T184" i="24"/>
  <c r="J95" i="26"/>
  <c r="M95" i="26"/>
  <c r="T171" i="24"/>
  <c r="C114" i="27" s="1"/>
  <c r="L114" i="27" s="1"/>
  <c r="B114" i="27"/>
  <c r="K114" i="27" s="1"/>
  <c r="M108" i="26"/>
  <c r="J108" i="26"/>
  <c r="T172" i="24"/>
  <c r="J38" i="26"/>
  <c r="M38" i="26"/>
  <c r="C101" i="21"/>
  <c r="D101" i="21" s="1"/>
  <c r="L25" i="24" s="1"/>
  <c r="F158" i="26" s="1"/>
  <c r="C180" i="21"/>
  <c r="D180" i="21" s="1"/>
  <c r="C133" i="21"/>
  <c r="D133" i="21" s="1"/>
  <c r="L44" i="24" s="1"/>
  <c r="F70" i="26" s="1"/>
  <c r="C146" i="21"/>
  <c r="D146" i="21" s="1"/>
  <c r="C111" i="21"/>
  <c r="D111" i="21" s="1"/>
  <c r="L29" i="24" s="1"/>
  <c r="F174" i="26" s="1"/>
  <c r="C154" i="21"/>
  <c r="D154" i="21" s="1"/>
  <c r="L141" i="24" s="1"/>
  <c r="F241" i="26" s="1"/>
  <c r="C106" i="21"/>
  <c r="D106" i="21" s="1"/>
  <c r="L30" i="24" s="1"/>
  <c r="F45" i="26" s="1"/>
  <c r="C126" i="21"/>
  <c r="D126" i="21" s="1"/>
  <c r="L40" i="24" s="1"/>
  <c r="F66" i="26" s="1"/>
  <c r="C181" i="21"/>
  <c r="D181" i="21" s="1"/>
  <c r="L128" i="24" s="1"/>
  <c r="F232" i="26" s="1"/>
  <c r="C142" i="21"/>
  <c r="D142" i="21" s="1"/>
  <c r="L194" i="24" s="1"/>
  <c r="F4" i="26" s="1"/>
  <c r="C135" i="21"/>
  <c r="D135" i="21" s="1"/>
  <c r="L53" i="24" s="1"/>
  <c r="R53" i="24" s="1"/>
  <c r="U53" i="24" s="1"/>
  <c r="C132" i="21"/>
  <c r="D132" i="21" s="1"/>
  <c r="L43" i="24" s="1"/>
  <c r="F71" i="26" s="1"/>
  <c r="C161" i="21"/>
  <c r="D161" i="21" s="1"/>
  <c r="C165" i="21"/>
  <c r="D165" i="21" s="1"/>
  <c r="C152" i="21"/>
  <c r="D152" i="21" s="1"/>
  <c r="L145" i="24" s="1"/>
  <c r="F202" i="26" s="1"/>
  <c r="C116" i="21"/>
  <c r="D116" i="21" s="1"/>
  <c r="L33" i="24" s="1"/>
  <c r="F58" i="26" s="1"/>
  <c r="C167" i="21"/>
  <c r="D167" i="21" s="1"/>
  <c r="C140" i="21"/>
  <c r="D140" i="21" s="1"/>
  <c r="C177" i="21"/>
  <c r="D177" i="21" s="1"/>
  <c r="L106" i="24" s="1"/>
  <c r="F201" i="26" s="1"/>
  <c r="C113" i="21"/>
  <c r="D113" i="21" s="1"/>
  <c r="L31" i="24" s="1"/>
  <c r="F56" i="26" s="1"/>
  <c r="C102" i="21"/>
  <c r="D102" i="21" s="1"/>
  <c r="L22" i="24" s="1"/>
  <c r="F140" i="26" s="1"/>
  <c r="C175" i="21"/>
  <c r="D175" i="21" s="1"/>
  <c r="C163" i="21"/>
  <c r="D163" i="21" s="1"/>
  <c r="C131" i="21"/>
  <c r="D131" i="21" s="1"/>
  <c r="L50" i="24" s="1"/>
  <c r="F169" i="26" s="1"/>
  <c r="C110" i="21"/>
  <c r="D110" i="21" s="1"/>
  <c r="L28" i="24" s="1"/>
  <c r="F173" i="26" s="1"/>
  <c r="C151" i="21"/>
  <c r="D151" i="21" s="1"/>
  <c r="L140" i="24" s="1"/>
  <c r="F184" i="26" s="1"/>
  <c r="C170" i="21"/>
  <c r="D170" i="21" s="1"/>
  <c r="C109" i="21"/>
  <c r="D109" i="21" s="1"/>
  <c r="C157" i="21"/>
  <c r="D157" i="21" s="1"/>
  <c r="C128" i="21"/>
  <c r="D128" i="21" s="1"/>
  <c r="L49" i="24" s="1"/>
  <c r="F130" i="26" s="1"/>
  <c r="C183" i="21"/>
  <c r="D183" i="21" s="1"/>
  <c r="C164" i="21"/>
  <c r="D164" i="21" s="1"/>
  <c r="C117" i="21"/>
  <c r="D117" i="21" s="1"/>
  <c r="L51" i="24" s="1"/>
  <c r="C107" i="21"/>
  <c r="D107" i="21" s="1"/>
  <c r="C118" i="21"/>
  <c r="D118" i="21" s="1"/>
  <c r="L34" i="24" s="1"/>
  <c r="F59" i="26" s="1"/>
  <c r="C168" i="21"/>
  <c r="D168" i="21" s="1"/>
  <c r="C121" i="21"/>
  <c r="D121" i="21" s="1"/>
  <c r="L47" i="24" s="1"/>
  <c r="F69" i="26" s="1"/>
  <c r="C112" i="21"/>
  <c r="D112" i="21" s="1"/>
  <c r="C130" i="21"/>
  <c r="D130" i="21" s="1"/>
  <c r="L42" i="24" s="1"/>
  <c r="F68" i="26" s="1"/>
  <c r="C178" i="21"/>
  <c r="D178" i="21" s="1"/>
  <c r="L105" i="24" s="1"/>
  <c r="F200" i="26" s="1"/>
  <c r="C119" i="21"/>
  <c r="D119" i="21" s="1"/>
  <c r="L35" i="24" s="1"/>
  <c r="F60" i="26" s="1"/>
  <c r="C138" i="21"/>
  <c r="D138" i="21" s="1"/>
  <c r="C108" i="21"/>
  <c r="D108" i="21" s="1"/>
  <c r="C158" i="21"/>
  <c r="D158" i="21" s="1"/>
  <c r="C150" i="21"/>
  <c r="D150" i="21" s="1"/>
  <c r="L144" i="24" s="1"/>
  <c r="F183" i="26" s="1"/>
  <c r="C174" i="21"/>
  <c r="D174" i="21" s="1"/>
  <c r="C149" i="21"/>
  <c r="D149" i="21" s="1"/>
  <c r="L143" i="24" s="1"/>
  <c r="F182" i="26" s="1"/>
  <c r="C125" i="21"/>
  <c r="D125" i="21" s="1"/>
  <c r="L39" i="24" s="1"/>
  <c r="F65" i="26" s="1"/>
  <c r="C105" i="21"/>
  <c r="D105" i="21" s="1"/>
  <c r="C173" i="21"/>
  <c r="D173" i="21" s="1"/>
  <c r="C148" i="21"/>
  <c r="D148" i="21" s="1"/>
  <c r="C136" i="21"/>
  <c r="D136" i="21" s="1"/>
  <c r="L54" i="24" s="1"/>
  <c r="F263" i="26" s="1"/>
  <c r="C139" i="21"/>
  <c r="D139" i="21" s="1"/>
  <c r="C145" i="21"/>
  <c r="D145" i="21" s="1"/>
  <c r="C122" i="21"/>
  <c r="D122" i="21" s="1"/>
  <c r="L36" i="24" s="1"/>
  <c r="F62" i="26" s="1"/>
  <c r="C124" i="21"/>
  <c r="D124" i="21" s="1"/>
  <c r="L38" i="24" s="1"/>
  <c r="F64" i="26" s="1"/>
  <c r="C129" i="21"/>
  <c r="D129" i="21" s="1"/>
  <c r="L48" i="24" s="1"/>
  <c r="F131" i="26" s="1"/>
  <c r="C127" i="21"/>
  <c r="D127" i="21" s="1"/>
  <c r="L41" i="24" s="1"/>
  <c r="F67" i="26" s="1"/>
  <c r="C141" i="21"/>
  <c r="D141" i="21" s="1"/>
  <c r="C137" i="21"/>
  <c r="D137" i="21" s="1"/>
  <c r="C153" i="21"/>
  <c r="D153" i="21" s="1"/>
  <c r="L142" i="24" s="1"/>
  <c r="F221" i="26" s="1"/>
  <c r="C169" i="21"/>
  <c r="D169" i="21" s="1"/>
  <c r="C120" i="21"/>
  <c r="D120" i="21" s="1"/>
  <c r="L46" i="24" s="1"/>
  <c r="F61" i="26" s="1"/>
  <c r="AA100" i="21"/>
  <c r="C155" i="21"/>
  <c r="D155" i="21" s="1"/>
  <c r="C114" i="21"/>
  <c r="D114" i="21" s="1"/>
  <c r="L52" i="24" s="1"/>
  <c r="F18" i="26" s="1"/>
  <c r="C160" i="21"/>
  <c r="D160" i="21" s="1"/>
  <c r="C104" i="21"/>
  <c r="D104" i="21" s="1"/>
  <c r="C166" i="21"/>
  <c r="D166" i="21" s="1"/>
  <c r="C143" i="21"/>
  <c r="D143" i="21" s="1"/>
  <c r="L195" i="24" s="1"/>
  <c r="F28" i="26" s="1"/>
  <c r="C171" i="21"/>
  <c r="D171" i="21" s="1"/>
  <c r="C156" i="21"/>
  <c r="D156" i="21" s="1"/>
  <c r="C147" i="21"/>
  <c r="D147" i="21" s="1"/>
  <c r="C159" i="21"/>
  <c r="D159" i="21" s="1"/>
  <c r="C123" i="21"/>
  <c r="D123" i="21" s="1"/>
  <c r="L37" i="24" s="1"/>
  <c r="F63" i="26" s="1"/>
  <c r="C144" i="21"/>
  <c r="D144" i="21" s="1"/>
  <c r="C115" i="21"/>
  <c r="D115" i="21" s="1"/>
  <c r="L32" i="24" s="1"/>
  <c r="F57" i="26" s="1"/>
  <c r="C134" i="21"/>
  <c r="D134" i="21" s="1"/>
  <c r="L45" i="24" s="1"/>
  <c r="F72" i="26" s="1"/>
  <c r="C176" i="21"/>
  <c r="D176" i="21" s="1"/>
  <c r="C179" i="21"/>
  <c r="D179" i="21" s="1"/>
  <c r="C182" i="21"/>
  <c r="D182" i="21" s="1"/>
  <c r="C172" i="21"/>
  <c r="D172" i="21" s="1"/>
  <c r="C162" i="21"/>
  <c r="D162" i="21" s="1"/>
  <c r="C103" i="21"/>
  <c r="D103" i="21" s="1"/>
  <c r="M32" i="26"/>
  <c r="J32" i="26"/>
  <c r="T165" i="24"/>
  <c r="T169" i="24"/>
  <c r="J253" i="26"/>
  <c r="M253" i="26"/>
  <c r="M268" i="26"/>
  <c r="J268" i="26"/>
  <c r="M111" i="26"/>
  <c r="J111" i="26"/>
  <c r="M110" i="26"/>
  <c r="J110" i="26"/>
  <c r="T190" i="24"/>
  <c r="J251" i="26"/>
  <c r="M251" i="26"/>
  <c r="T187" i="24"/>
  <c r="T183" i="24"/>
  <c r="C56" i="27" s="1"/>
  <c r="L56" i="27" s="1"/>
  <c r="B56" i="27"/>
  <c r="K56" i="27" s="1"/>
  <c r="J101" i="26"/>
  <c r="M101" i="26"/>
  <c r="T201" i="24"/>
  <c r="B132" i="27"/>
  <c r="K132" i="27" s="1"/>
  <c r="M25" i="26"/>
  <c r="J25" i="26"/>
  <c r="M262" i="26"/>
  <c r="J262" i="26"/>
  <c r="T168" i="24"/>
  <c r="J162" i="26"/>
  <c r="M162" i="26"/>
  <c r="T156" i="24"/>
  <c r="C167" i="27" s="1"/>
  <c r="L167" i="27" s="1"/>
  <c r="B167" i="27"/>
  <c r="K167" i="27" s="1"/>
  <c r="J36" i="26"/>
  <c r="M36" i="26"/>
  <c r="T148" i="24"/>
  <c r="J133" i="26"/>
  <c r="M133" i="26"/>
  <c r="M15" i="26"/>
  <c r="J15" i="26"/>
  <c r="M33" i="26"/>
  <c r="J33" i="26"/>
  <c r="M97" i="26"/>
  <c r="J97" i="26"/>
  <c r="B129" i="27"/>
  <c r="K129" i="27" s="1"/>
  <c r="T152" i="24"/>
  <c r="C129" i="27" s="1"/>
  <c r="L129" i="27" s="1"/>
  <c r="B106" i="27"/>
  <c r="K106" i="27" s="1"/>
  <c r="T181" i="24"/>
  <c r="C106" i="27" s="1"/>
  <c r="L106" i="27" s="1"/>
  <c r="J35" i="26"/>
  <c r="M35" i="26"/>
  <c r="T182" i="24"/>
  <c r="B21" i="27"/>
  <c r="K21" i="27" s="1"/>
  <c r="T198" i="24"/>
  <c r="C21" i="27" s="1"/>
  <c r="L21" i="27" s="1"/>
  <c r="M83" i="26"/>
  <c r="J83" i="26"/>
  <c r="T177" i="24"/>
  <c r="C105" i="27" s="1"/>
  <c r="L105" i="27" s="1"/>
  <c r="B105" i="27"/>
  <c r="K105" i="27" s="1"/>
  <c r="T150" i="24"/>
  <c r="M78" i="26"/>
  <c r="J78" i="26"/>
  <c r="T161" i="24"/>
  <c r="M98" i="26"/>
  <c r="J98" i="26"/>
  <c r="T202" i="24"/>
  <c r="B139" i="27"/>
  <c r="K139" i="27" s="1"/>
  <c r="T147" i="24"/>
  <c r="M250" i="26"/>
  <c r="J250" i="26"/>
  <c r="T186" i="24"/>
  <c r="C125" i="27" s="1"/>
  <c r="L125" i="27" s="1"/>
  <c r="B125" i="27"/>
  <c r="K125" i="27" s="1"/>
  <c r="J91" i="26"/>
  <c r="M91" i="26"/>
  <c r="J81" i="26"/>
  <c r="M81" i="26"/>
  <c r="B36" i="27"/>
  <c r="K36" i="27" s="1"/>
  <c r="T179" i="24"/>
  <c r="C36" i="27" s="1"/>
  <c r="L36" i="27" s="1"/>
  <c r="M99" i="26"/>
  <c r="J99" i="26"/>
  <c r="M51" i="26"/>
  <c r="J51" i="26"/>
  <c r="B107" i="27"/>
  <c r="K107" i="27" s="1"/>
  <c r="T158" i="24"/>
  <c r="C107" i="27" s="1"/>
  <c r="L107" i="27" s="1"/>
  <c r="J267" i="26"/>
  <c r="M267" i="26"/>
  <c r="J90" i="26"/>
  <c r="M90" i="26"/>
  <c r="J82" i="26"/>
  <c r="M82" i="26"/>
  <c r="M9" i="26"/>
  <c r="J9" i="26"/>
  <c r="M137" i="26"/>
  <c r="J137" i="26"/>
  <c r="T191" i="24"/>
  <c r="M52" i="26"/>
  <c r="J52" i="26"/>
  <c r="T196" i="24"/>
  <c r="C5" i="27" s="1"/>
  <c r="L5" i="27" s="1"/>
  <c r="B5" i="27"/>
  <c r="K5" i="27" s="1"/>
  <c r="M129" i="26"/>
  <c r="J129" i="26"/>
  <c r="T162" i="24"/>
  <c r="T204" i="24"/>
  <c r="B32" i="27"/>
  <c r="K32" i="27" s="1"/>
  <c r="B104" i="27"/>
  <c r="K104" i="27" s="1"/>
  <c r="T153" i="24"/>
  <c r="C104" i="27" s="1"/>
  <c r="L104" i="27" s="1"/>
  <c r="T173" i="24"/>
  <c r="C109" i="27" s="1"/>
  <c r="L109" i="27" s="1"/>
  <c r="B109" i="27"/>
  <c r="K109" i="27" s="1"/>
  <c r="T154" i="24"/>
  <c r="J164" i="26"/>
  <c r="M164" i="26"/>
  <c r="M124" i="26"/>
  <c r="J124" i="26"/>
  <c r="T159" i="24"/>
  <c r="T205" i="24"/>
  <c r="C151" i="27" s="1"/>
  <c r="L151" i="27" s="1"/>
  <c r="B151" i="27"/>
  <c r="K151" i="27" s="1"/>
  <c r="M34" i="26"/>
  <c r="J34" i="26"/>
  <c r="J120" i="26"/>
  <c r="M120" i="26"/>
  <c r="H37" i="28" l="1"/>
  <c r="I37" i="28" s="1"/>
  <c r="U37" i="28" s="1"/>
  <c r="V37" i="28" s="1"/>
  <c r="H35" i="28"/>
  <c r="I35" i="28" s="1"/>
  <c r="U35" i="28" s="1"/>
  <c r="V35" i="28" s="1"/>
  <c r="H120" i="28"/>
  <c r="I120" i="28" s="1"/>
  <c r="U120" i="28" s="1"/>
  <c r="V120" i="28" s="1"/>
  <c r="H34" i="28"/>
  <c r="I34" i="28" s="1"/>
  <c r="U34" i="28" s="1"/>
  <c r="V34" i="28" s="1"/>
  <c r="C100" i="21"/>
  <c r="D100" i="21" s="1"/>
  <c r="L21" i="24" s="1"/>
  <c r="F139" i="26" s="1"/>
  <c r="H45" i="28"/>
  <c r="I45" i="28" s="1"/>
  <c r="U45" i="28" s="1"/>
  <c r="V45" i="28" s="1"/>
  <c r="H19" i="28"/>
  <c r="I19" i="28" s="1"/>
  <c r="U19" i="28" s="1"/>
  <c r="V19" i="28" s="1"/>
  <c r="H29" i="28"/>
  <c r="I29" i="28" s="1"/>
  <c r="U29" i="28" s="1"/>
  <c r="V29" i="28" s="1"/>
  <c r="L110" i="24"/>
  <c r="F222" i="26" s="1"/>
  <c r="L111" i="24"/>
  <c r="F223" i="26" s="1"/>
  <c r="R39" i="24"/>
  <c r="U39" i="24" s="1"/>
  <c r="L85" i="24"/>
  <c r="F217" i="26" s="1"/>
  <c r="L67" i="24"/>
  <c r="F216" i="26" s="1"/>
  <c r="R33" i="24"/>
  <c r="U33" i="24" s="1"/>
  <c r="L104" i="24"/>
  <c r="F194" i="26" s="1"/>
  <c r="L103" i="24"/>
  <c r="F195" i="26" s="1"/>
  <c r="R46" i="24"/>
  <c r="U46" i="24" s="1"/>
  <c r="R143" i="24"/>
  <c r="U143" i="24" s="1"/>
  <c r="L133" i="24"/>
  <c r="R133" i="24" s="1"/>
  <c r="U133" i="24" s="1"/>
  <c r="L134" i="24"/>
  <c r="R134" i="24" s="1"/>
  <c r="U134" i="24" s="1"/>
  <c r="R145" i="24"/>
  <c r="U145" i="24" s="1"/>
  <c r="R45" i="24"/>
  <c r="U45" i="24" s="1"/>
  <c r="L121" i="24"/>
  <c r="F242" i="26" s="1"/>
  <c r="L122" i="24"/>
  <c r="F243" i="26" s="1"/>
  <c r="L92" i="24"/>
  <c r="F236" i="26" s="1"/>
  <c r="L91" i="24"/>
  <c r="F235" i="26" s="1"/>
  <c r="L108" i="24"/>
  <c r="F176" i="26" s="1"/>
  <c r="L109" i="24"/>
  <c r="F177" i="26" s="1"/>
  <c r="R49" i="24"/>
  <c r="U49" i="24" s="1"/>
  <c r="L66" i="24"/>
  <c r="F214" i="26" s="1"/>
  <c r="L86" i="24"/>
  <c r="F215" i="26" s="1"/>
  <c r="R142" i="24"/>
  <c r="U142" i="24" s="1"/>
  <c r="R144" i="24"/>
  <c r="U144" i="24" s="1"/>
  <c r="L72" i="24"/>
  <c r="F211" i="26" s="1"/>
  <c r="L114" i="24"/>
  <c r="F191" i="26" s="1"/>
  <c r="L115" i="24"/>
  <c r="F192" i="26" s="1"/>
  <c r="L73" i="24"/>
  <c r="F212" i="26" s="1"/>
  <c r="L81" i="24"/>
  <c r="F210" i="26" s="1"/>
  <c r="L80" i="24"/>
  <c r="F209" i="26" s="1"/>
  <c r="L55" i="24"/>
  <c r="F22" i="26" s="1"/>
  <c r="L56" i="24"/>
  <c r="F21" i="26" s="1"/>
  <c r="L75" i="24"/>
  <c r="F179" i="26" s="1"/>
  <c r="L120" i="24"/>
  <c r="F248" i="26" s="1"/>
  <c r="L74" i="24"/>
  <c r="F178" i="26" s="1"/>
  <c r="L118" i="24"/>
  <c r="F185" i="26" s="1"/>
  <c r="L119" i="24"/>
  <c r="F186" i="26" s="1"/>
  <c r="L15" i="24"/>
  <c r="F155" i="26" s="1"/>
  <c r="L5" i="24"/>
  <c r="F156" i="26" s="1"/>
  <c r="L26" i="24"/>
  <c r="F157" i="26" s="1"/>
  <c r="R43" i="24"/>
  <c r="U43" i="24" s="1"/>
  <c r="R32" i="24"/>
  <c r="U32" i="24" s="1"/>
  <c r="F3" i="25"/>
  <c r="I3" i="25" s="1"/>
  <c r="J3" i="25" s="1"/>
  <c r="L136" i="24"/>
  <c r="F116" i="26" s="1"/>
  <c r="R37" i="24"/>
  <c r="U37" i="24" s="1"/>
  <c r="L192" i="24"/>
  <c r="F88" i="26" s="1"/>
  <c r="L193" i="24"/>
  <c r="F89" i="26" s="1"/>
  <c r="L7" i="24"/>
  <c r="F153" i="26" s="1"/>
  <c r="L9" i="24"/>
  <c r="F154" i="26" s="1"/>
  <c r="L20" i="24"/>
  <c r="F152" i="26" s="1"/>
  <c r="L94" i="24"/>
  <c r="F234" i="26" s="1"/>
  <c r="L93" i="24"/>
  <c r="F233" i="26" s="1"/>
  <c r="T53" i="24"/>
  <c r="L77" i="24"/>
  <c r="F208" i="26" s="1"/>
  <c r="L76" i="24"/>
  <c r="F207" i="26" s="1"/>
  <c r="R41" i="24"/>
  <c r="U41" i="24" s="1"/>
  <c r="L57" i="24"/>
  <c r="F80" i="26" s="1"/>
  <c r="L58" i="24"/>
  <c r="F79" i="26" s="1"/>
  <c r="R140" i="24"/>
  <c r="U140" i="24" s="1"/>
  <c r="R194" i="24"/>
  <c r="U194" i="24" s="1"/>
  <c r="L139" i="24"/>
  <c r="F4" i="25"/>
  <c r="I4" i="25" s="1"/>
  <c r="J4" i="25" s="1"/>
  <c r="R48" i="24"/>
  <c r="U48" i="24" s="1"/>
  <c r="R35" i="24"/>
  <c r="U35" i="24" s="1"/>
  <c r="R28" i="24"/>
  <c r="U28" i="24" s="1"/>
  <c r="R128" i="24"/>
  <c r="U128" i="24" s="1"/>
  <c r="L71" i="24"/>
  <c r="F181" i="26" s="1"/>
  <c r="L112" i="24"/>
  <c r="F187" i="26" s="1"/>
  <c r="L70" i="24"/>
  <c r="F180" i="26" s="1"/>
  <c r="L113" i="24"/>
  <c r="F188" i="26" s="1"/>
  <c r="R38" i="24"/>
  <c r="U38" i="24" s="1"/>
  <c r="R105" i="24"/>
  <c r="U105" i="24" s="1"/>
  <c r="R50" i="24"/>
  <c r="U50" i="24" s="1"/>
  <c r="R40" i="24"/>
  <c r="U40" i="24" s="1"/>
  <c r="L95" i="24"/>
  <c r="F239" i="26" s="1"/>
  <c r="L96" i="24"/>
  <c r="F240" i="26" s="1"/>
  <c r="R36" i="24"/>
  <c r="U36" i="24" s="1"/>
  <c r="R42" i="24"/>
  <c r="U42" i="24" s="1"/>
  <c r="L107" i="24"/>
  <c r="F224" i="26" s="1"/>
  <c r="L84" i="24"/>
  <c r="F225" i="26" s="1"/>
  <c r="R30" i="24"/>
  <c r="U30" i="24" s="1"/>
  <c r="R195" i="24"/>
  <c r="U195" i="24" s="1"/>
  <c r="F5" i="25"/>
  <c r="I5" i="25" s="1"/>
  <c r="J5" i="25" s="1"/>
  <c r="L135" i="24"/>
  <c r="F112" i="26" s="1"/>
  <c r="L18" i="24"/>
  <c r="F159" i="26" s="1"/>
  <c r="L8" i="24"/>
  <c r="F161" i="26" s="1"/>
  <c r="L6" i="24"/>
  <c r="F160" i="26" s="1"/>
  <c r="L102" i="24"/>
  <c r="F199" i="26" s="1"/>
  <c r="L101" i="24"/>
  <c r="F198" i="26" s="1"/>
  <c r="R141" i="24"/>
  <c r="U141" i="24" s="1"/>
  <c r="L59" i="24"/>
  <c r="F107" i="26" s="1"/>
  <c r="L60" i="24"/>
  <c r="F106" i="26" s="1"/>
  <c r="R47" i="24"/>
  <c r="U47" i="24" s="1"/>
  <c r="R22" i="24"/>
  <c r="U22" i="24" s="1"/>
  <c r="R29" i="24"/>
  <c r="U29" i="24" s="1"/>
  <c r="L87" i="24"/>
  <c r="F219" i="26" s="1"/>
  <c r="L65" i="24"/>
  <c r="F218" i="26" s="1"/>
  <c r="L17" i="24"/>
  <c r="F141" i="26" s="1"/>
  <c r="L23" i="24"/>
  <c r="F143" i="26" s="1"/>
  <c r="L10" i="24"/>
  <c r="F142" i="26" s="1"/>
  <c r="L63" i="24"/>
  <c r="F54" i="26" s="1"/>
  <c r="L11" i="24"/>
  <c r="F145" i="26" s="1"/>
  <c r="L27" i="24"/>
  <c r="F146" i="26" s="1"/>
  <c r="L19" i="24"/>
  <c r="F144" i="26" s="1"/>
  <c r="R54" i="24"/>
  <c r="U54" i="24" s="1"/>
  <c r="L123" i="24"/>
  <c r="F237" i="26" s="1"/>
  <c r="L131" i="24"/>
  <c r="F213" i="26" s="1"/>
  <c r="L90" i="24"/>
  <c r="F246" i="26" s="1"/>
  <c r="R31" i="24"/>
  <c r="U31" i="24" s="1"/>
  <c r="F6" i="25"/>
  <c r="I6" i="25" s="1"/>
  <c r="J6" i="25" s="1"/>
  <c r="L137" i="24"/>
  <c r="F113" i="26" s="1"/>
  <c r="L83" i="24"/>
  <c r="F229" i="26" s="1"/>
  <c r="L82" i="24"/>
  <c r="F228" i="26" s="1"/>
  <c r="L79" i="24"/>
  <c r="F206" i="26" s="1"/>
  <c r="L78" i="24"/>
  <c r="F205" i="26" s="1"/>
  <c r="L138" i="24"/>
  <c r="F115" i="26" s="1"/>
  <c r="F7" i="25"/>
  <c r="I7" i="25" s="1"/>
  <c r="J7" i="25" s="1"/>
  <c r="R34" i="24"/>
  <c r="U34" i="24" s="1"/>
  <c r="R106" i="24"/>
  <c r="U106" i="24" s="1"/>
  <c r="R44" i="24"/>
  <c r="U44" i="24" s="1"/>
  <c r="L98" i="24"/>
  <c r="F245" i="26" s="1"/>
  <c r="L97" i="24"/>
  <c r="F244" i="26" s="1"/>
  <c r="L132" i="24"/>
  <c r="F193" i="26" s="1"/>
  <c r="R52" i="24"/>
  <c r="U52" i="24" s="1"/>
  <c r="L99" i="24"/>
  <c r="F196" i="26" s="1"/>
  <c r="L100" i="24"/>
  <c r="F197" i="26" s="1"/>
  <c r="L12" i="24"/>
  <c r="F150" i="26" s="1"/>
  <c r="L16" i="24"/>
  <c r="F149" i="26" s="1"/>
  <c r="L14" i="24"/>
  <c r="F151" i="26" s="1"/>
  <c r="L62" i="24"/>
  <c r="F264" i="26" s="1"/>
  <c r="L61" i="24"/>
  <c r="F265" i="26" s="1"/>
  <c r="L126" i="24"/>
  <c r="F227" i="26" s="1"/>
  <c r="L125" i="24"/>
  <c r="L69" i="24"/>
  <c r="F204" i="26" s="1"/>
  <c r="L117" i="24"/>
  <c r="F190" i="26" s="1"/>
  <c r="L124" i="24"/>
  <c r="F220" i="26" s="1"/>
  <c r="L68" i="24"/>
  <c r="F203" i="26" s="1"/>
  <c r="L116" i="24"/>
  <c r="F189" i="26" s="1"/>
  <c r="L64" i="24"/>
  <c r="F55" i="26" s="1"/>
  <c r="L24" i="24"/>
  <c r="F148" i="26" s="1"/>
  <c r="L13" i="24"/>
  <c r="F147" i="26" s="1"/>
  <c r="R51" i="24"/>
  <c r="U51" i="24" s="1"/>
  <c r="H223" i="28"/>
  <c r="I223" i="28" s="1"/>
  <c r="L88" i="24"/>
  <c r="F230" i="26" s="1"/>
  <c r="L89" i="24"/>
  <c r="F231" i="26" s="1"/>
  <c r="L127" i="24"/>
  <c r="F238" i="26" s="1"/>
  <c r="R25" i="24"/>
  <c r="U25" i="24" s="1"/>
  <c r="F226" i="26" l="1"/>
  <c r="H116" i="28"/>
  <c r="I116" i="28" s="1"/>
  <c r="U116" i="28" s="1"/>
  <c r="V116" i="28" s="1"/>
  <c r="F114" i="26"/>
  <c r="H109" i="28"/>
  <c r="I109" i="28" s="1"/>
  <c r="U109" i="28" s="1"/>
  <c r="V109" i="28" s="1"/>
  <c r="H96" i="28"/>
  <c r="I96" i="28" s="1"/>
  <c r="U96" i="28" s="1"/>
  <c r="V96" i="28" s="1"/>
  <c r="H12" i="28"/>
  <c r="I12" i="28" s="1"/>
  <c r="U12" i="28" s="1"/>
  <c r="V12" i="28" s="1"/>
  <c r="H10" i="28"/>
  <c r="I10" i="28" s="1"/>
  <c r="U10" i="28" s="1"/>
  <c r="V10" i="28" s="1"/>
  <c r="H105" i="28"/>
  <c r="I105" i="28" s="1"/>
  <c r="U105" i="28" s="1"/>
  <c r="V105" i="28" s="1"/>
  <c r="H91" i="28"/>
  <c r="I91" i="28" s="1"/>
  <c r="U91" i="28" s="1"/>
  <c r="V91" i="28" s="1"/>
  <c r="H90" i="28"/>
  <c r="I90" i="28" s="1"/>
  <c r="U90" i="28" s="1"/>
  <c r="V90" i="28" s="1"/>
  <c r="H18" i="28"/>
  <c r="I18" i="28" s="1"/>
  <c r="U18" i="28" s="1"/>
  <c r="V18" i="28" s="1"/>
  <c r="H79" i="28"/>
  <c r="I79" i="28" s="1"/>
  <c r="U79" i="28" s="1"/>
  <c r="V79" i="28" s="1"/>
  <c r="H102" i="28"/>
  <c r="I102" i="28" s="1"/>
  <c r="U102" i="28" s="1"/>
  <c r="V102" i="28" s="1"/>
  <c r="H80" i="28"/>
  <c r="I80" i="28" s="1"/>
  <c r="U80" i="28" s="1"/>
  <c r="V80" i="28" s="1"/>
  <c r="H8" i="28"/>
  <c r="I8" i="28" s="1"/>
  <c r="U8" i="28" s="1"/>
  <c r="V8" i="28" s="1"/>
  <c r="H93" i="28"/>
  <c r="I93" i="28" s="1"/>
  <c r="U93" i="28" s="1"/>
  <c r="V93" i="28" s="1"/>
  <c r="H97" i="28"/>
  <c r="I97" i="28" s="1"/>
  <c r="U97" i="28" s="1"/>
  <c r="V97" i="28" s="1"/>
  <c r="H94" i="28"/>
  <c r="I94" i="28" s="1"/>
  <c r="U94" i="28" s="1"/>
  <c r="V94" i="28" s="1"/>
  <c r="H103" i="28"/>
  <c r="I103" i="28" s="1"/>
  <c r="U103" i="28" s="1"/>
  <c r="V103" i="28" s="1"/>
  <c r="H60" i="28"/>
  <c r="I60" i="28" s="1"/>
  <c r="U60" i="28" s="1"/>
  <c r="V60" i="28" s="1"/>
  <c r="H52" i="28"/>
  <c r="I52" i="28" s="1"/>
  <c r="U52" i="28" s="1"/>
  <c r="V52" i="28" s="1"/>
  <c r="H82" i="28"/>
  <c r="I82" i="28" s="1"/>
  <c r="U82" i="28" s="1"/>
  <c r="V82" i="28" s="1"/>
  <c r="H113" i="28"/>
  <c r="I113" i="28" s="1"/>
  <c r="U113" i="28" s="1"/>
  <c r="V113" i="28" s="1"/>
  <c r="H83" i="28"/>
  <c r="I83" i="28" s="1"/>
  <c r="U83" i="28" s="1"/>
  <c r="V83" i="28" s="1"/>
  <c r="H85" i="28"/>
  <c r="I85" i="28" s="1"/>
  <c r="U85" i="28" s="1"/>
  <c r="V85" i="28" s="1"/>
  <c r="H69" i="28"/>
  <c r="I69" i="28" s="1"/>
  <c r="U69" i="28" s="1"/>
  <c r="V69" i="28" s="1"/>
  <c r="H87" i="28"/>
  <c r="I87" i="28" s="1"/>
  <c r="U87" i="28" s="1"/>
  <c r="V87" i="28" s="1"/>
  <c r="H16" i="28"/>
  <c r="I16" i="28" s="1"/>
  <c r="U16" i="28" s="1"/>
  <c r="V16" i="28" s="1"/>
  <c r="H15" i="28"/>
  <c r="I15" i="28" s="1"/>
  <c r="U15" i="28" s="1"/>
  <c r="V15" i="28" s="1"/>
  <c r="H14" i="28"/>
  <c r="I14" i="28" s="1"/>
  <c r="U14" i="28" s="1"/>
  <c r="V14" i="28" s="1"/>
  <c r="R21" i="24"/>
  <c r="U21" i="24" s="1"/>
  <c r="H22" i="28"/>
  <c r="I22" i="28" s="1"/>
  <c r="U22" i="28" s="1"/>
  <c r="V22" i="28" s="1"/>
  <c r="H99" i="28"/>
  <c r="I99" i="28" s="1"/>
  <c r="U99" i="28" s="1"/>
  <c r="V99" i="28" s="1"/>
  <c r="H31" i="28"/>
  <c r="I31" i="28" s="1"/>
  <c r="U31" i="28" s="1"/>
  <c r="V31" i="28" s="1"/>
  <c r="H86" i="28"/>
  <c r="I86" i="28" s="1"/>
  <c r="U86" i="28" s="1"/>
  <c r="V86" i="28" s="1"/>
  <c r="H58" i="28"/>
  <c r="I58" i="28" s="1"/>
  <c r="U58" i="28" s="1"/>
  <c r="V58" i="28" s="1"/>
  <c r="H68" i="28"/>
  <c r="I68" i="28" s="1"/>
  <c r="U68" i="28" s="1"/>
  <c r="V68" i="28" s="1"/>
  <c r="H46" i="28"/>
  <c r="I46" i="28" s="1"/>
  <c r="U46" i="28" s="1"/>
  <c r="V46" i="28" s="1"/>
  <c r="H65" i="28"/>
  <c r="I65" i="28" s="1"/>
  <c r="U65" i="28" s="1"/>
  <c r="V65" i="28" s="1"/>
  <c r="H40" i="28"/>
  <c r="I40" i="28" s="1"/>
  <c r="U40" i="28" s="1"/>
  <c r="V40" i="28" s="1"/>
  <c r="H73" i="28"/>
  <c r="I73" i="28" s="1"/>
  <c r="U73" i="28" s="1"/>
  <c r="V73" i="28" s="1"/>
  <c r="H84" i="28"/>
  <c r="I84" i="28" s="1"/>
  <c r="U84" i="28" s="1"/>
  <c r="V84" i="28" s="1"/>
  <c r="H101" i="28"/>
  <c r="I101" i="28" s="1"/>
  <c r="U101" i="28" s="1"/>
  <c r="V101" i="28" s="1"/>
  <c r="H61" i="28"/>
  <c r="I61" i="28" s="1"/>
  <c r="U61" i="28" s="1"/>
  <c r="V61" i="28" s="1"/>
  <c r="H70" i="28"/>
  <c r="I70" i="28" s="1"/>
  <c r="U70" i="28" s="1"/>
  <c r="V70" i="28" s="1"/>
  <c r="H49" i="28"/>
  <c r="I49" i="28" s="1"/>
  <c r="U49" i="28" s="1"/>
  <c r="V49" i="28" s="1"/>
  <c r="H108" i="28"/>
  <c r="I108" i="28" s="1"/>
  <c r="U108" i="28" s="1"/>
  <c r="V108" i="28" s="1"/>
  <c r="H44" i="28"/>
  <c r="I44" i="28" s="1"/>
  <c r="U44" i="28" s="1"/>
  <c r="V44" i="28" s="1"/>
  <c r="H77" i="28"/>
  <c r="I77" i="28" s="1"/>
  <c r="U77" i="28" s="1"/>
  <c r="V77" i="28" s="1"/>
  <c r="H9" i="28"/>
  <c r="I9" i="28" s="1"/>
  <c r="U9" i="28" s="1"/>
  <c r="H50" i="28"/>
  <c r="I50" i="28" s="1"/>
  <c r="U50" i="28" s="1"/>
  <c r="V50" i="28" s="1"/>
  <c r="H30" i="28"/>
  <c r="I30" i="28" s="1"/>
  <c r="U30" i="28" s="1"/>
  <c r="V30" i="28" s="1"/>
  <c r="H114" i="28"/>
  <c r="I114" i="28" s="1"/>
  <c r="U114" i="28" s="1"/>
  <c r="V114" i="28" s="1"/>
  <c r="H67" i="28"/>
  <c r="I67" i="28" s="1"/>
  <c r="U67" i="28" s="1"/>
  <c r="V67" i="28" s="1"/>
  <c r="H72" i="28"/>
  <c r="I72" i="28" s="1"/>
  <c r="U72" i="28" s="1"/>
  <c r="V72" i="28" s="1"/>
  <c r="H47" i="28"/>
  <c r="I47" i="28" s="1"/>
  <c r="U47" i="28" s="1"/>
  <c r="V47" i="28" s="1"/>
  <c r="H55" i="28"/>
  <c r="I55" i="28" s="1"/>
  <c r="U55" i="28" s="1"/>
  <c r="V55" i="28" s="1"/>
  <c r="H88" i="28"/>
  <c r="I88" i="28" s="1"/>
  <c r="U88" i="28" s="1"/>
  <c r="V88" i="28" s="1"/>
  <c r="H39" i="28"/>
  <c r="I39" i="28" s="1"/>
  <c r="U39" i="28" s="1"/>
  <c r="V39" i="28" s="1"/>
  <c r="H111" i="28"/>
  <c r="I111" i="28" s="1"/>
  <c r="U111" i="28" s="1"/>
  <c r="V111" i="28" s="1"/>
  <c r="H106" i="28"/>
  <c r="I106" i="28" s="1"/>
  <c r="U106" i="28" s="1"/>
  <c r="V106" i="28" s="1"/>
  <c r="H71" i="28"/>
  <c r="I71" i="28" s="1"/>
  <c r="U71" i="28" s="1"/>
  <c r="V71" i="28" s="1"/>
  <c r="H75" i="28"/>
  <c r="I75" i="28" s="1"/>
  <c r="U75" i="28" s="1"/>
  <c r="V75" i="28" s="1"/>
  <c r="H11" i="28"/>
  <c r="I11" i="28" s="1"/>
  <c r="U11" i="28" s="1"/>
  <c r="V11" i="28" s="1"/>
  <c r="H119" i="28"/>
  <c r="I119" i="28" s="1"/>
  <c r="U119" i="28" s="1"/>
  <c r="V119" i="28" s="1"/>
  <c r="H57" i="28"/>
  <c r="I57" i="28" s="1"/>
  <c r="U57" i="28" s="1"/>
  <c r="V57" i="28" s="1"/>
  <c r="H95" i="28"/>
  <c r="I95" i="28" s="1"/>
  <c r="U95" i="28" s="1"/>
  <c r="V95" i="28" s="1"/>
  <c r="H62" i="28"/>
  <c r="I62" i="28" s="1"/>
  <c r="U62" i="28" s="1"/>
  <c r="V62" i="28" s="1"/>
  <c r="H104" i="28"/>
  <c r="I104" i="28" s="1"/>
  <c r="U104" i="28" s="1"/>
  <c r="V104" i="28" s="1"/>
  <c r="H36" i="28"/>
  <c r="I36" i="28" s="1"/>
  <c r="U36" i="28" s="1"/>
  <c r="V36" i="28" s="1"/>
  <c r="H117" i="28"/>
  <c r="I117" i="28" s="1"/>
  <c r="U117" i="28" s="1"/>
  <c r="V117" i="28" s="1"/>
  <c r="H42" i="28"/>
  <c r="I42" i="28" s="1"/>
  <c r="U42" i="28" s="1"/>
  <c r="V42" i="28" s="1"/>
  <c r="H48" i="28"/>
  <c r="I48" i="28" s="1"/>
  <c r="U48" i="28" s="1"/>
  <c r="V48" i="28" s="1"/>
  <c r="H27" i="28"/>
  <c r="I27" i="28" s="1"/>
  <c r="U27" i="28" s="1"/>
  <c r="V27" i="28" s="1"/>
  <c r="H89" i="28"/>
  <c r="I89" i="28" s="1"/>
  <c r="U89" i="28" s="1"/>
  <c r="V89" i="28" s="1"/>
  <c r="H17" i="28"/>
  <c r="I17" i="28" s="1"/>
  <c r="U17" i="28" s="1"/>
  <c r="V17" i="28" s="1"/>
  <c r="H13" i="28"/>
  <c r="I13" i="28" s="1"/>
  <c r="U13" i="28" s="1"/>
  <c r="V13" i="28" s="1"/>
  <c r="H23" i="28"/>
  <c r="I23" i="28" s="1"/>
  <c r="U23" i="28" s="1"/>
  <c r="V23" i="28" s="1"/>
  <c r="H92" i="28"/>
  <c r="I92" i="28" s="1"/>
  <c r="U92" i="28" s="1"/>
  <c r="V92" i="28" s="1"/>
  <c r="H76" i="28"/>
  <c r="I76" i="28" s="1"/>
  <c r="U76" i="28" s="1"/>
  <c r="V76" i="28" s="1"/>
  <c r="H110" i="28"/>
  <c r="I110" i="28" s="1"/>
  <c r="U110" i="28" s="1"/>
  <c r="V110" i="28" s="1"/>
  <c r="H74" i="28"/>
  <c r="I74" i="28" s="1"/>
  <c r="U74" i="28" s="1"/>
  <c r="V74" i="28" s="1"/>
  <c r="H118" i="28"/>
  <c r="I118" i="28" s="1"/>
  <c r="H63" i="28"/>
  <c r="I63" i="28" s="1"/>
  <c r="U63" i="28" s="1"/>
  <c r="V63" i="28" s="1"/>
  <c r="H100" i="28"/>
  <c r="I100" i="28" s="1"/>
  <c r="U100" i="28" s="1"/>
  <c r="V100" i="28" s="1"/>
  <c r="H66" i="28"/>
  <c r="I66" i="28" s="1"/>
  <c r="U66" i="28" s="1"/>
  <c r="V66" i="28" s="1"/>
  <c r="H115" i="28"/>
  <c r="I115" i="28" s="1"/>
  <c r="U115" i="28" s="1"/>
  <c r="V115" i="28" s="1"/>
  <c r="H41" i="28"/>
  <c r="I41" i="28" s="1"/>
  <c r="U41" i="28" s="1"/>
  <c r="V41" i="28" s="1"/>
  <c r="H32" i="28"/>
  <c r="I32" i="28" s="1"/>
  <c r="U32" i="28" s="1"/>
  <c r="V32" i="28" s="1"/>
  <c r="H38" i="28"/>
  <c r="I38" i="28" s="1"/>
  <c r="U38" i="28" s="1"/>
  <c r="V38" i="28" s="1"/>
  <c r="H112" i="28"/>
  <c r="I112" i="28" s="1"/>
  <c r="U112" i="28" s="1"/>
  <c r="V112" i="28" s="1"/>
  <c r="H25" i="28"/>
  <c r="I25" i="28" s="1"/>
  <c r="U25" i="28" s="1"/>
  <c r="V25" i="28" s="1"/>
  <c r="H26" i="28"/>
  <c r="I26" i="28" s="1"/>
  <c r="U26" i="28" s="1"/>
  <c r="V26" i="28" s="1"/>
  <c r="H24" i="28"/>
  <c r="I24" i="28" s="1"/>
  <c r="U24" i="28" s="1"/>
  <c r="V24" i="28" s="1"/>
  <c r="H98" i="28"/>
  <c r="I98" i="28" s="1"/>
  <c r="U98" i="28" s="1"/>
  <c r="V98" i="28" s="1"/>
  <c r="H28" i="28"/>
  <c r="I28" i="28" s="1"/>
  <c r="U28" i="28" s="1"/>
  <c r="V28" i="28" s="1"/>
  <c r="H78" i="28"/>
  <c r="I78" i="28" s="1"/>
  <c r="U78" i="28" s="1"/>
  <c r="V78" i="28" s="1"/>
  <c r="H54" i="28"/>
  <c r="I54" i="28" s="1"/>
  <c r="U54" i="28" s="1"/>
  <c r="V54" i="28" s="1"/>
  <c r="H56" i="28"/>
  <c r="I56" i="28" s="1"/>
  <c r="U56" i="28" s="1"/>
  <c r="V56" i="28" s="1"/>
  <c r="H20" i="28"/>
  <c r="I20" i="28" s="1"/>
  <c r="U20" i="28" s="1"/>
  <c r="V20" i="28" s="1"/>
  <c r="H107" i="28"/>
  <c r="I107" i="28" s="1"/>
  <c r="U107" i="28" s="1"/>
  <c r="V107" i="28" s="1"/>
  <c r="H33" i="28"/>
  <c r="I33" i="28" s="1"/>
  <c r="U33" i="28" s="1"/>
  <c r="V33" i="28" s="1"/>
  <c r="H43" i="28"/>
  <c r="I43" i="28" s="1"/>
  <c r="U43" i="28" s="1"/>
  <c r="V43" i="28" s="1"/>
  <c r="H21" i="28"/>
  <c r="I21" i="28" s="1"/>
  <c r="U21" i="28" s="1"/>
  <c r="V21" i="28" s="1"/>
  <c r="H81" i="28"/>
  <c r="I81" i="28" s="1"/>
  <c r="U81" i="28" s="1"/>
  <c r="V81" i="28" s="1"/>
  <c r="H53" i="28"/>
  <c r="I53" i="28" s="1"/>
  <c r="U53" i="28" s="1"/>
  <c r="V53" i="28" s="1"/>
  <c r="H64" i="28"/>
  <c r="I64" i="28" s="1"/>
  <c r="U64" i="28" s="1"/>
  <c r="V64" i="28" s="1"/>
  <c r="H51" i="28"/>
  <c r="I51" i="28" s="1"/>
  <c r="U51" i="28" s="1"/>
  <c r="V51" i="28" s="1"/>
  <c r="R11" i="24"/>
  <c r="U11" i="24" s="1"/>
  <c r="R59" i="24"/>
  <c r="U59" i="24" s="1"/>
  <c r="R84" i="24"/>
  <c r="U84" i="24" s="1"/>
  <c r="B161" i="27"/>
  <c r="K161" i="27" s="1"/>
  <c r="T50" i="24"/>
  <c r="C161" i="27" s="1"/>
  <c r="L161" i="27" s="1"/>
  <c r="T35" i="24"/>
  <c r="R55" i="24"/>
  <c r="U55" i="24" s="1"/>
  <c r="R109" i="24"/>
  <c r="U109" i="24" s="1"/>
  <c r="M61" i="26"/>
  <c r="J61" i="26"/>
  <c r="R82" i="24"/>
  <c r="U82" i="24" s="1"/>
  <c r="R76" i="24"/>
  <c r="U76" i="24" s="1"/>
  <c r="R80" i="24"/>
  <c r="U80" i="24" s="1"/>
  <c r="R108" i="24"/>
  <c r="U108" i="24" s="1"/>
  <c r="T46" i="24"/>
  <c r="J60" i="26"/>
  <c r="M60" i="26"/>
  <c r="R77" i="24"/>
  <c r="U77" i="24" s="1"/>
  <c r="T32" i="24"/>
  <c r="R81" i="24"/>
  <c r="U81" i="24" s="1"/>
  <c r="R91" i="24"/>
  <c r="U91" i="24" s="1"/>
  <c r="R103" i="24"/>
  <c r="U103" i="24" s="1"/>
  <c r="R98" i="24"/>
  <c r="U98" i="24" s="1"/>
  <c r="M131" i="26"/>
  <c r="J131" i="26"/>
  <c r="J57" i="26"/>
  <c r="M57" i="26"/>
  <c r="R73" i="24"/>
  <c r="U73" i="24" s="1"/>
  <c r="R92" i="24"/>
  <c r="U92" i="24" s="1"/>
  <c r="R104" i="24"/>
  <c r="U104" i="24" s="1"/>
  <c r="R101" i="24"/>
  <c r="U101" i="24" s="1"/>
  <c r="B117" i="27"/>
  <c r="K117" i="27" s="1"/>
  <c r="T42" i="24"/>
  <c r="C117" i="27" s="1"/>
  <c r="L117" i="27" s="1"/>
  <c r="T105" i="24"/>
  <c r="T48" i="24"/>
  <c r="J71" i="26"/>
  <c r="M71" i="26"/>
  <c r="R115" i="24"/>
  <c r="U115" i="24" s="1"/>
  <c r="R122" i="24"/>
  <c r="U122" i="24" s="1"/>
  <c r="M18" i="26"/>
  <c r="J18" i="26"/>
  <c r="R83" i="24"/>
  <c r="U83" i="24" s="1"/>
  <c r="R102" i="24"/>
  <c r="U102" i="24" s="1"/>
  <c r="M62" i="26"/>
  <c r="J62" i="26"/>
  <c r="R93" i="24"/>
  <c r="U93" i="24" s="1"/>
  <c r="T43" i="24"/>
  <c r="R114" i="24"/>
  <c r="U114" i="24" s="1"/>
  <c r="R121" i="24"/>
  <c r="U121" i="24" s="1"/>
  <c r="T33" i="24"/>
  <c r="C52" i="27" s="1"/>
  <c r="L52" i="27" s="1"/>
  <c r="B52" i="27"/>
  <c r="K52" i="27" s="1"/>
  <c r="R69" i="24"/>
  <c r="U69" i="24" s="1"/>
  <c r="T44" i="24"/>
  <c r="C128" i="27" s="1"/>
  <c r="L128" i="27" s="1"/>
  <c r="B128" i="27"/>
  <c r="K128" i="27" s="1"/>
  <c r="R87" i="24"/>
  <c r="U87" i="24" s="1"/>
  <c r="R6" i="24"/>
  <c r="U6" i="24" s="1"/>
  <c r="T36" i="24"/>
  <c r="B33" i="27"/>
  <c r="K33" i="27" s="1"/>
  <c r="T38" i="24"/>
  <c r="C33" i="27" s="1"/>
  <c r="L33" i="27" s="1"/>
  <c r="R139" i="24"/>
  <c r="E4" i="25" s="1"/>
  <c r="R94" i="24"/>
  <c r="U94" i="24" s="1"/>
  <c r="R72" i="24"/>
  <c r="U72" i="24" s="1"/>
  <c r="M72" i="26"/>
  <c r="J72" i="26"/>
  <c r="J58" i="26"/>
  <c r="M58" i="26"/>
  <c r="R79" i="24"/>
  <c r="U79" i="24" s="1"/>
  <c r="R68" i="24"/>
  <c r="U68" i="24" s="1"/>
  <c r="R23" i="24"/>
  <c r="U23" i="24" s="1"/>
  <c r="R126" i="24"/>
  <c r="U126" i="24" s="1"/>
  <c r="J174" i="26"/>
  <c r="M174" i="26"/>
  <c r="R8" i="24"/>
  <c r="U8" i="24" s="1"/>
  <c r="J64" i="26"/>
  <c r="M64" i="26"/>
  <c r="B19" i="27"/>
  <c r="K19" i="27" s="1"/>
  <c r="T194" i="24"/>
  <c r="C19" i="27" s="1"/>
  <c r="L19" i="27" s="1"/>
  <c r="R20" i="24"/>
  <c r="U20" i="24" s="1"/>
  <c r="R26" i="24"/>
  <c r="U26" i="24" s="1"/>
  <c r="M183" i="26"/>
  <c r="J183" i="26"/>
  <c r="T45" i="24"/>
  <c r="R67" i="24"/>
  <c r="U67" i="24" s="1"/>
  <c r="R97" i="24"/>
  <c r="U97" i="24" s="1"/>
  <c r="R117" i="24"/>
  <c r="U117" i="24" s="1"/>
  <c r="R61" i="24"/>
  <c r="U61" i="24" s="1"/>
  <c r="R18" i="24"/>
  <c r="U18" i="24" s="1"/>
  <c r="R113" i="24"/>
  <c r="U113" i="24" s="1"/>
  <c r="J4" i="26"/>
  <c r="M4" i="26"/>
  <c r="R9" i="24"/>
  <c r="U9" i="24" s="1"/>
  <c r="R5" i="24"/>
  <c r="U5" i="24" s="1"/>
  <c r="T144" i="24"/>
  <c r="B141" i="27"/>
  <c r="K141" i="27" s="1"/>
  <c r="R85" i="24"/>
  <c r="U85" i="24" s="1"/>
  <c r="J200" i="26"/>
  <c r="M200" i="26"/>
  <c r="R135" i="24"/>
  <c r="E5" i="25" s="1"/>
  <c r="R95" i="24"/>
  <c r="U95" i="24" s="1"/>
  <c r="R70" i="24"/>
  <c r="U70" i="24" s="1"/>
  <c r="R7" i="24"/>
  <c r="U7" i="24" s="1"/>
  <c r="R15" i="24"/>
  <c r="U15" i="24" s="1"/>
  <c r="M221" i="26"/>
  <c r="J221" i="26"/>
  <c r="J202" i="26"/>
  <c r="M202" i="26"/>
  <c r="T39" i="24"/>
  <c r="R107" i="24"/>
  <c r="U107" i="24" s="1"/>
  <c r="T141" i="24"/>
  <c r="R65" i="24"/>
  <c r="U65" i="24" s="1"/>
  <c r="R96" i="24"/>
  <c r="U96" i="24" s="1"/>
  <c r="R89" i="24"/>
  <c r="U89" i="24" s="1"/>
  <c r="R14" i="24"/>
  <c r="U14" i="24" s="1"/>
  <c r="B126" i="27"/>
  <c r="K126" i="27" s="1"/>
  <c r="T34" i="24"/>
  <c r="C126" i="27" s="1"/>
  <c r="L126" i="27" s="1"/>
  <c r="R123" i="24"/>
  <c r="U123" i="24" s="1"/>
  <c r="T22" i="24"/>
  <c r="R112" i="24"/>
  <c r="U112" i="24" s="1"/>
  <c r="M184" i="26"/>
  <c r="J184" i="26"/>
  <c r="R193" i="24"/>
  <c r="U193" i="24" s="1"/>
  <c r="R119" i="24"/>
  <c r="U119" i="24" s="1"/>
  <c r="T142" i="24"/>
  <c r="T145" i="24"/>
  <c r="J65" i="26"/>
  <c r="M65" i="26"/>
  <c r="R116" i="24"/>
  <c r="U116" i="24" s="1"/>
  <c r="R10" i="24"/>
  <c r="U10" i="24" s="1"/>
  <c r="J70" i="26"/>
  <c r="M70" i="26"/>
  <c r="M56" i="26"/>
  <c r="J56" i="26"/>
  <c r="J59" i="26"/>
  <c r="M59" i="26"/>
  <c r="M263" i="26"/>
  <c r="J263" i="26"/>
  <c r="J140" i="26"/>
  <c r="M140" i="26"/>
  <c r="B171" i="27"/>
  <c r="K171" i="27" s="1"/>
  <c r="T195" i="24"/>
  <c r="C171" i="27" s="1"/>
  <c r="L171" i="27" s="1"/>
  <c r="R71" i="24"/>
  <c r="U71" i="24" s="1"/>
  <c r="T140" i="24"/>
  <c r="R192" i="24"/>
  <c r="U192" i="24" s="1"/>
  <c r="R118" i="24"/>
  <c r="U118" i="24" s="1"/>
  <c r="T134" i="24"/>
  <c r="R63" i="24"/>
  <c r="U63" i="24" s="1"/>
  <c r="R124" i="24"/>
  <c r="U124" i="24" s="1"/>
  <c r="R17" i="24"/>
  <c r="U17" i="24" s="1"/>
  <c r="M158" i="26"/>
  <c r="J158" i="26"/>
  <c r="R127" i="24"/>
  <c r="U127" i="24" s="1"/>
  <c r="J28" i="26"/>
  <c r="M28" i="26"/>
  <c r="J66" i="26"/>
  <c r="M66" i="26"/>
  <c r="M232" i="26"/>
  <c r="J232" i="26"/>
  <c r="R58" i="24"/>
  <c r="U58" i="24" s="1"/>
  <c r="J63" i="26"/>
  <c r="M63" i="26"/>
  <c r="R74" i="24"/>
  <c r="U74" i="24" s="1"/>
  <c r="R86" i="24"/>
  <c r="U86" i="24" s="1"/>
  <c r="T133" i="24"/>
  <c r="R64" i="24"/>
  <c r="U64" i="24" s="1"/>
  <c r="J68" i="26"/>
  <c r="M68" i="26"/>
  <c r="R125" i="24"/>
  <c r="U125" i="24" s="1"/>
  <c r="R90" i="24"/>
  <c r="U90" i="24" s="1"/>
  <c r="R62" i="24"/>
  <c r="U62" i="24" s="1"/>
  <c r="R88" i="24"/>
  <c r="U88" i="24" s="1"/>
  <c r="R12" i="24"/>
  <c r="U12" i="24" s="1"/>
  <c r="T54" i="24"/>
  <c r="T51" i="24"/>
  <c r="B53" i="27"/>
  <c r="K53" i="27" s="1"/>
  <c r="T40" i="24"/>
  <c r="C53" i="27" s="1"/>
  <c r="L53" i="27" s="1"/>
  <c r="T128" i="24"/>
  <c r="R57" i="24"/>
  <c r="U57" i="24" s="1"/>
  <c r="R120" i="24"/>
  <c r="U120" i="24" s="1"/>
  <c r="R66" i="24"/>
  <c r="U66" i="24" s="1"/>
  <c r="M182" i="26"/>
  <c r="J182" i="26"/>
  <c r="M139" i="26"/>
  <c r="J139" i="26"/>
  <c r="R132" i="24"/>
  <c r="U132" i="24" s="1"/>
  <c r="R137" i="24"/>
  <c r="E6" i="25" s="1"/>
  <c r="M201" i="26"/>
  <c r="J201" i="26"/>
  <c r="T25" i="24"/>
  <c r="T106" i="24"/>
  <c r="T29" i="24"/>
  <c r="R16" i="24"/>
  <c r="U16" i="24" s="1"/>
  <c r="R13" i="24"/>
  <c r="U13" i="24" s="1"/>
  <c r="R138" i="24"/>
  <c r="E7" i="25" s="1"/>
  <c r="R19" i="24"/>
  <c r="U19" i="24" s="1"/>
  <c r="M69" i="26"/>
  <c r="J69" i="26"/>
  <c r="J45" i="26"/>
  <c r="M45" i="26"/>
  <c r="T28" i="24"/>
  <c r="M67" i="26"/>
  <c r="J67" i="26"/>
  <c r="T37" i="24"/>
  <c r="C57" i="27" s="1"/>
  <c r="L57" i="27" s="1"/>
  <c r="B57" i="27"/>
  <c r="K57" i="27" s="1"/>
  <c r="R75" i="24"/>
  <c r="U75" i="24" s="1"/>
  <c r="T49" i="24"/>
  <c r="B144" i="27"/>
  <c r="K144" i="27" s="1"/>
  <c r="T143" i="24"/>
  <c r="R111" i="24"/>
  <c r="U111" i="24" s="1"/>
  <c r="J241" i="26"/>
  <c r="M241" i="26"/>
  <c r="T31" i="24"/>
  <c r="C39" i="27" s="1"/>
  <c r="L39" i="27" s="1"/>
  <c r="B39" i="27"/>
  <c r="K39" i="27" s="1"/>
  <c r="R131" i="24"/>
  <c r="U131" i="24" s="1"/>
  <c r="T47" i="24"/>
  <c r="R100" i="24"/>
  <c r="U100" i="24" s="1"/>
  <c r="R99" i="24"/>
  <c r="U99" i="24" s="1"/>
  <c r="R24" i="24"/>
  <c r="U24" i="24" s="1"/>
  <c r="T52" i="24"/>
  <c r="R78" i="24"/>
  <c r="U78" i="24" s="1"/>
  <c r="R27" i="24"/>
  <c r="U27" i="24" s="1"/>
  <c r="R60" i="24"/>
  <c r="U60" i="24" s="1"/>
  <c r="T30" i="24"/>
  <c r="J169" i="26"/>
  <c r="M169" i="26"/>
  <c r="M173" i="26"/>
  <c r="J173" i="26"/>
  <c r="T41" i="24"/>
  <c r="R136" i="24"/>
  <c r="E3" i="25" s="1"/>
  <c r="R56" i="24"/>
  <c r="U56" i="24" s="1"/>
  <c r="J130" i="26"/>
  <c r="M130" i="26"/>
  <c r="R110" i="24"/>
  <c r="U110" i="24" s="1"/>
  <c r="U118" i="28" l="1"/>
  <c r="V118" i="28" s="1"/>
  <c r="I3" i="28"/>
  <c r="U136" i="24"/>
  <c r="M3" i="25"/>
  <c r="N3" i="25" s="1"/>
  <c r="U138" i="24"/>
  <c r="M7" i="25"/>
  <c r="N7" i="25" s="1"/>
  <c r="U135" i="24"/>
  <c r="M5" i="25"/>
  <c r="N5" i="25" s="1"/>
  <c r="U139" i="24"/>
  <c r="M4" i="25"/>
  <c r="N4" i="25" s="1"/>
  <c r="U137" i="24"/>
  <c r="M6" i="25"/>
  <c r="N6" i="25" s="1"/>
  <c r="T21" i="24"/>
  <c r="V9" i="28"/>
  <c r="U4" i="28"/>
  <c r="G4" i="28"/>
  <c r="M179" i="26"/>
  <c r="J179" i="26"/>
  <c r="T138" i="24"/>
  <c r="T137" i="24"/>
  <c r="T125" i="24"/>
  <c r="T17" i="24"/>
  <c r="T71" i="24"/>
  <c r="M186" i="26"/>
  <c r="J186" i="26"/>
  <c r="J112" i="26"/>
  <c r="M112" i="26"/>
  <c r="T18" i="24"/>
  <c r="M227" i="26"/>
  <c r="J227" i="26"/>
  <c r="T139" i="24"/>
  <c r="T83" i="24"/>
  <c r="T23" i="24"/>
  <c r="J114" i="26"/>
  <c r="M114" i="26"/>
  <c r="T101" i="24"/>
  <c r="T103" i="24"/>
  <c r="M176" i="26"/>
  <c r="J176" i="26"/>
  <c r="M22" i="26"/>
  <c r="J22" i="26"/>
  <c r="M147" i="26"/>
  <c r="J147" i="26"/>
  <c r="T132" i="24"/>
  <c r="J220" i="26"/>
  <c r="M220" i="26"/>
  <c r="M181" i="26"/>
  <c r="J181" i="26"/>
  <c r="M89" i="26"/>
  <c r="J89" i="26"/>
  <c r="J231" i="26"/>
  <c r="M231" i="26"/>
  <c r="T26" i="24"/>
  <c r="M143" i="26"/>
  <c r="J143" i="26"/>
  <c r="J242" i="26"/>
  <c r="M242" i="26"/>
  <c r="J195" i="26"/>
  <c r="M195" i="26"/>
  <c r="T55" i="24"/>
  <c r="T124" i="24"/>
  <c r="T10" i="24"/>
  <c r="J240" i="26"/>
  <c r="M240" i="26"/>
  <c r="T15" i="24"/>
  <c r="T85" i="24"/>
  <c r="M265" i="26"/>
  <c r="J265" i="26"/>
  <c r="J157" i="26"/>
  <c r="M157" i="26"/>
  <c r="J203" i="26"/>
  <c r="M203" i="26"/>
  <c r="T121" i="24"/>
  <c r="M198" i="26"/>
  <c r="J198" i="26"/>
  <c r="M235" i="26"/>
  <c r="J235" i="26"/>
  <c r="T108" i="24"/>
  <c r="T89" i="24"/>
  <c r="J21" i="26"/>
  <c r="M21" i="26"/>
  <c r="T27" i="24"/>
  <c r="M213" i="26"/>
  <c r="J213" i="26"/>
  <c r="J149" i="26"/>
  <c r="M149" i="26"/>
  <c r="M79" i="26"/>
  <c r="J79" i="26"/>
  <c r="T63" i="24"/>
  <c r="T96" i="24"/>
  <c r="J155" i="26"/>
  <c r="M155" i="26"/>
  <c r="M217" i="26"/>
  <c r="J217" i="26"/>
  <c r="T61" i="24"/>
  <c r="J152" i="26"/>
  <c r="M152" i="26"/>
  <c r="T68" i="24"/>
  <c r="J191" i="26"/>
  <c r="M191" i="26"/>
  <c r="J243" i="26"/>
  <c r="M243" i="26"/>
  <c r="T104" i="24"/>
  <c r="T91" i="24"/>
  <c r="J209" i="26"/>
  <c r="M209" i="26"/>
  <c r="T13" i="24"/>
  <c r="M106" i="26"/>
  <c r="J106" i="26"/>
  <c r="T20" i="24"/>
  <c r="J206" i="26"/>
  <c r="M206" i="26"/>
  <c r="T114" i="24"/>
  <c r="T122" i="24"/>
  <c r="J194" i="26"/>
  <c r="M194" i="26"/>
  <c r="M210" i="26"/>
  <c r="J210" i="26"/>
  <c r="T80" i="24"/>
  <c r="M189" i="26"/>
  <c r="J189" i="26"/>
  <c r="T112" i="24"/>
  <c r="T65" i="24"/>
  <c r="T79" i="24"/>
  <c r="M236" i="26"/>
  <c r="J236" i="26"/>
  <c r="J207" i="26"/>
  <c r="M207" i="26"/>
  <c r="M190" i="26"/>
  <c r="J190" i="26"/>
  <c r="T12" i="24"/>
  <c r="T116" i="24"/>
  <c r="J153" i="26"/>
  <c r="M153" i="26"/>
  <c r="M156" i="26"/>
  <c r="J156" i="26"/>
  <c r="T117" i="24"/>
  <c r="T6" i="24"/>
  <c r="T115" i="24"/>
  <c r="T92" i="24"/>
  <c r="T81" i="24"/>
  <c r="T76" i="24"/>
  <c r="M193" i="26"/>
  <c r="J193" i="26"/>
  <c r="T131" i="24"/>
  <c r="T16" i="24"/>
  <c r="J218" i="26"/>
  <c r="M218" i="26"/>
  <c r="J230" i="26"/>
  <c r="M230" i="26"/>
  <c r="T5" i="24"/>
  <c r="M244" i="26"/>
  <c r="J244" i="26"/>
  <c r="J160" i="26"/>
  <c r="M160" i="26"/>
  <c r="M233" i="26"/>
  <c r="J233" i="26"/>
  <c r="J192" i="26"/>
  <c r="M192" i="26"/>
  <c r="J212" i="26"/>
  <c r="M212" i="26"/>
  <c r="J228" i="26"/>
  <c r="M228" i="26"/>
  <c r="J225" i="26"/>
  <c r="M225" i="26"/>
  <c r="M146" i="26"/>
  <c r="J146" i="26"/>
  <c r="M150" i="26"/>
  <c r="J150" i="26"/>
  <c r="M214" i="26"/>
  <c r="J214" i="26"/>
  <c r="T66" i="24"/>
  <c r="T88" i="24"/>
  <c r="J185" i="26"/>
  <c r="M185" i="26"/>
  <c r="T70" i="24"/>
  <c r="J219" i="26"/>
  <c r="M219" i="26"/>
  <c r="T93" i="24"/>
  <c r="T73" i="24"/>
  <c r="T84" i="24"/>
  <c r="T193" i="24"/>
  <c r="T136" i="24"/>
  <c r="J223" i="26"/>
  <c r="M223" i="26"/>
  <c r="J248" i="26"/>
  <c r="M248" i="26"/>
  <c r="J264" i="26"/>
  <c r="M264" i="26"/>
  <c r="T118" i="24"/>
  <c r="T123" i="24"/>
  <c r="M180" i="26"/>
  <c r="J180" i="26"/>
  <c r="T9" i="24"/>
  <c r="T97" i="24"/>
  <c r="J161" i="26"/>
  <c r="M161" i="26"/>
  <c r="T87" i="24"/>
  <c r="J208" i="26"/>
  <c r="M208" i="26"/>
  <c r="T82" i="24"/>
  <c r="J226" i="26"/>
  <c r="M226" i="26"/>
  <c r="J159" i="26"/>
  <c r="M159" i="26"/>
  <c r="J142" i="26"/>
  <c r="M142" i="26"/>
  <c r="T120" i="24"/>
  <c r="T86" i="24"/>
  <c r="J238" i="26"/>
  <c r="M238" i="26"/>
  <c r="M88" i="26"/>
  <c r="J88" i="26"/>
  <c r="M237" i="26"/>
  <c r="J237" i="26"/>
  <c r="M224" i="26"/>
  <c r="J224" i="26"/>
  <c r="M154" i="26"/>
  <c r="J154" i="26"/>
  <c r="M216" i="26"/>
  <c r="J216" i="26"/>
  <c r="T8" i="24"/>
  <c r="T72" i="24"/>
  <c r="T59" i="24"/>
  <c r="T75" i="24"/>
  <c r="J141" i="26"/>
  <c r="M141" i="26"/>
  <c r="J187" i="26"/>
  <c r="M187" i="26"/>
  <c r="T7" i="24"/>
  <c r="T78" i="24"/>
  <c r="T57" i="24"/>
  <c r="J215" i="26"/>
  <c r="M215" i="26"/>
  <c r="T192" i="24"/>
  <c r="T107" i="24"/>
  <c r="T95" i="24"/>
  <c r="J211" i="26"/>
  <c r="M211" i="26"/>
  <c r="T77" i="24"/>
  <c r="M107" i="26"/>
  <c r="J107" i="26"/>
  <c r="M54" i="26"/>
  <c r="J54" i="26"/>
  <c r="J55" i="26"/>
  <c r="M55" i="26"/>
  <c r="M148" i="26"/>
  <c r="J148" i="26"/>
  <c r="J196" i="26"/>
  <c r="M196" i="26"/>
  <c r="J144" i="26"/>
  <c r="M144" i="26"/>
  <c r="T62" i="24"/>
  <c r="T99" i="24"/>
  <c r="J80" i="26"/>
  <c r="M80" i="26"/>
  <c r="T74" i="24"/>
  <c r="T127" i="24"/>
  <c r="J239" i="26"/>
  <c r="M239" i="26"/>
  <c r="T67" i="24"/>
  <c r="T94" i="24"/>
  <c r="M204" i="26"/>
  <c r="J204" i="26"/>
  <c r="T102" i="24"/>
  <c r="M177" i="26"/>
  <c r="J177" i="26"/>
  <c r="T60" i="24"/>
  <c r="T58" i="24"/>
  <c r="T19" i="24"/>
  <c r="T110" i="24"/>
  <c r="M197" i="26"/>
  <c r="J197" i="26"/>
  <c r="J246" i="26"/>
  <c r="M246" i="26"/>
  <c r="J178" i="26"/>
  <c r="M178" i="26"/>
  <c r="T14" i="24"/>
  <c r="T113" i="24"/>
  <c r="T126" i="24"/>
  <c r="M234" i="26"/>
  <c r="J234" i="26"/>
  <c r="T69" i="24"/>
  <c r="M199" i="26"/>
  <c r="J199" i="26"/>
  <c r="T98" i="24"/>
  <c r="T11" i="24"/>
  <c r="T56" i="24"/>
  <c r="T64" i="24"/>
  <c r="J116" i="26"/>
  <c r="M116" i="26"/>
  <c r="J205" i="26"/>
  <c r="M205" i="26"/>
  <c r="T24" i="24"/>
  <c r="T111" i="24"/>
  <c r="J222" i="26"/>
  <c r="M222" i="26"/>
  <c r="T100" i="24"/>
  <c r="M115" i="26"/>
  <c r="J115" i="26"/>
  <c r="J113" i="26"/>
  <c r="M113" i="26"/>
  <c r="T90" i="24"/>
  <c r="T119" i="24"/>
  <c r="M151" i="26"/>
  <c r="J151" i="26"/>
  <c r="T135" i="24"/>
  <c r="M188" i="26"/>
  <c r="J188" i="26"/>
  <c r="J229" i="26"/>
  <c r="M229" i="26"/>
  <c r="M245" i="26"/>
  <c r="J245" i="26"/>
  <c r="T109" i="24"/>
  <c r="J145" i="26"/>
  <c r="M145" i="26"/>
  <c r="I4" i="28" l="1"/>
  <c r="M4" i="28"/>
  <c r="Q4" i="28"/>
  <c r="S4" i="28"/>
  <c r="K4" i="28"/>
  <c r="O4" i="28"/>
  <c r="J273" i="26"/>
  <c r="M273"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Dominguez</author>
  </authors>
  <commentList>
    <comment ref="R4" authorId="0" shapeId="0" xr:uid="{348AB798-B912-4F6E-B48A-C2F9FB303D04}">
      <text>
        <r>
          <rPr>
            <b/>
            <sz val="9"/>
            <color indexed="81"/>
            <rFont val="Tahoma"/>
            <family val="2"/>
          </rPr>
          <t>Alex Dominguez:</t>
        </r>
        <r>
          <rPr>
            <sz val="9"/>
            <color indexed="81"/>
            <rFont val="Tahoma"/>
            <family val="2"/>
          </rPr>
          <t xml:space="preserve">
20kg bag or by KG if Ton</t>
        </r>
      </text>
    </comment>
    <comment ref="X14" authorId="0" shapeId="0" xr:uid="{E88E1458-5F1A-794F-957D-E06250D1F085}">
      <text>
        <r>
          <rPr>
            <b/>
            <sz val="10"/>
            <color rgb="FF000000"/>
            <rFont val="Tahoma"/>
            <family val="2"/>
          </rPr>
          <t>Alex Dominguez:</t>
        </r>
        <r>
          <rPr>
            <sz val="10"/>
            <color rgb="FF000000"/>
            <rFont val="Tahoma"/>
            <family val="2"/>
          </rPr>
          <t xml:space="preserve">
</t>
        </r>
        <r>
          <rPr>
            <sz val="10"/>
            <color rgb="FF000000"/>
            <rFont val="Tahoma"/>
            <family val="2"/>
          </rPr>
          <t xml:space="preserve">Includes 24% of profit. 
</t>
        </r>
        <r>
          <rPr>
            <sz val="10"/>
            <color rgb="FF000000"/>
            <rFont val="Tahoma"/>
            <family val="2"/>
          </rPr>
          <t xml:space="preserve">
</t>
        </r>
        <r>
          <rPr>
            <sz val="10"/>
            <color rgb="FF000000"/>
            <rFont val="Tahoma"/>
            <family val="2"/>
          </rPr>
          <t>Cost per tonn $68</t>
        </r>
      </text>
    </comment>
    <comment ref="C50" authorId="0" shapeId="0" xr:uid="{43DE6F2A-306D-41A0-A415-E3292BD9987F}">
      <text>
        <r>
          <rPr>
            <b/>
            <sz val="9"/>
            <color indexed="81"/>
            <rFont val="Tahoma"/>
            <family val="2"/>
          </rPr>
          <t>Alex Dominguez:</t>
        </r>
        <r>
          <rPr>
            <sz val="9"/>
            <color indexed="81"/>
            <rFont val="Tahoma"/>
            <family val="2"/>
          </rPr>
          <t xml:space="preserve">
In OLD - Ian McKay Stock Mix 20kg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 Dominguez</author>
  </authors>
  <commentList>
    <comment ref="B8" authorId="0" shapeId="0" xr:uid="{95230EAC-D4CF-409C-A635-06FD1663F55C}">
      <text>
        <r>
          <rPr>
            <b/>
            <sz val="9"/>
            <color indexed="81"/>
            <rFont val="Tahoma"/>
            <family val="2"/>
          </rPr>
          <t>Alex Dominguez:</t>
        </r>
        <r>
          <rPr>
            <sz val="9"/>
            <color indexed="81"/>
            <rFont val="Tahoma"/>
            <family val="2"/>
          </rPr>
          <t xml:space="preserve">
Need to confirm recipe</t>
        </r>
      </text>
    </comment>
    <comment ref="D10" authorId="0" shapeId="0" xr:uid="{391383FE-BAC6-4E2F-8060-631FDA2D983F}">
      <text>
        <r>
          <rPr>
            <b/>
            <sz val="9"/>
            <color indexed="81"/>
            <rFont val="Tahoma"/>
            <family val="2"/>
          </rPr>
          <t>Alex Dominguez:</t>
        </r>
        <r>
          <rPr>
            <sz val="9"/>
            <color indexed="81"/>
            <rFont val="Tahoma"/>
            <family val="2"/>
          </rPr>
          <t xml:space="preserve">
Mix is 280, but vulka fits 550, therefore 275 for 2 batches</t>
        </r>
      </text>
    </comment>
    <comment ref="AB53" authorId="0" shapeId="0" xr:uid="{0FF7ED51-A2CB-4FA9-B2F2-45A433F9D443}">
      <text>
        <r>
          <rPr>
            <b/>
            <sz val="9"/>
            <color indexed="81"/>
            <rFont val="Tahoma"/>
            <family val="2"/>
          </rPr>
          <t>Alex Dominguez:</t>
        </r>
        <r>
          <rPr>
            <sz val="9"/>
            <color indexed="81"/>
            <rFont val="Tahoma"/>
            <family val="2"/>
          </rPr>
          <t xml:space="preserve">
85 same as Mayreef, was 110 according to files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<sst xmlns="http://schemas.openxmlformats.org/spreadsheetml/2006/main" count="4584" uniqueCount="788">
  <si>
    <t>Review</t>
  </si>
  <si>
    <t>Item ID</t>
  </si>
  <si>
    <t>Name</t>
  </si>
  <si>
    <t>SKU</t>
  </si>
  <si>
    <t>Category</t>
  </si>
  <si>
    <t>Description</t>
  </si>
  <si>
    <t>Wholesale</t>
  </si>
  <si>
    <t>Price: distributor</t>
  </si>
  <si>
    <t>Price: Retail</t>
  </si>
  <si>
    <t>Price: Distributor 2</t>
  </si>
  <si>
    <t>Uses Volume Pricing</t>
  </si>
  <si>
    <t>Track Inventory</t>
  </si>
  <si>
    <t>Weight in Kilograms</t>
  </si>
  <si>
    <t>Show to Customers</t>
  </si>
  <si>
    <t>Units Per Pack</t>
  </si>
  <si>
    <t>Min Purchase Quantity</t>
  </si>
  <si>
    <t>ParentID</t>
  </si>
  <si>
    <t>Option1</t>
  </si>
  <si>
    <t>Cost</t>
  </si>
  <si>
    <t>Shaftel Clover Small Square</t>
  </si>
  <si>
    <t>Shaftel Clover</t>
  </si>
  <si>
    <t>Hay &amp; Straw</t>
  </si>
  <si>
    <t>Shaftel Clover Small Square order in multiples of 12 or 18</t>
  </si>
  <si>
    <t>no</t>
  </si>
  <si>
    <t>Clover &amp; Rye Small Square</t>
  </si>
  <si>
    <t>Clover &amp; Rye</t>
  </si>
  <si>
    <t>Clover &amp; Rye Small Square order in multiples of 12 or 18</t>
  </si>
  <si>
    <t>Peas Cleaned &amp; Graded 20kg</t>
  </si>
  <si>
    <t>Peas</t>
  </si>
  <si>
    <t>Grain</t>
  </si>
  <si>
    <t>Dunn peas are used as protein concentrates for livestock and are popular in pigeon feeds. They contain high levels of carbohydrates, are low in fibre and contain 86% total digestible nutrients, which makes them an excellent livestock feed.</t>
  </si>
  <si>
    <t>yes</t>
  </si>
  <si>
    <t>Safflower Cleaned &amp; Graded 20kg</t>
  </si>
  <si>
    <t>Safflower</t>
  </si>
  <si>
    <t>Safflower is a favourite of almost all seed eating birds, your feathered friends will be happy filling up on our premium oil sunflower bird seed. _x000D_
Safflower is a small white seed that is high in protein and fat.</t>
  </si>
  <si>
    <t>Sorghum Cleaned &amp; Graded 20kg</t>
  </si>
  <si>
    <t>Sorghum</t>
  </si>
  <si>
    <t>Vetch Cleaned &amp; Graded 20kg</t>
  </si>
  <si>
    <t>Vetch</t>
  </si>
  <si>
    <t>Vetch grain is a very good digestible source of protein and metabolizable energy.</t>
  </si>
  <si>
    <t>Ian McKay Race 20kg</t>
  </si>
  <si>
    <t>Race</t>
  </si>
  <si>
    <t>Pigeon Mixes</t>
  </si>
  <si>
    <t>A basic mixture of dun peas, hard wheat, maize, milo and safflower can be fed all year round to both race and stock birds. Like the European young-bird mixes, it contains about 50% legumes. You will find as the racing year progresses the birdsâ€™ dietary requirements will change and will require some extra carbohydrate seeds later in the week i.e. maize milo or brown rice or change to Hi Carb Mix for two days before basketing.</t>
  </si>
  <si>
    <t>Ian McKay Race Popcorn 20kg</t>
  </si>
  <si>
    <t>Race Popcorn</t>
  </si>
  <si>
    <t>Ian McKay Sprint 20kg</t>
  </si>
  <si>
    <t>Sprint</t>
  </si>
  <si>
    <t>A 50% legume mix that contains 12 different grains including a variety of small seeds and brown rice to provide essential fats for energy. The birds eat less of this mix due to the higher energy content. Primarily used for racing young birds but can be used up until racing begins. Some fanciers have been feeding this mix in the old bird races at the start of the week during racing.</t>
  </si>
  <si>
    <t>Oaten Chaff</t>
  </si>
  <si>
    <t>Chaff</t>
  </si>
  <si>
    <t>Oaten Chaff 20kg</t>
  </si>
  <si>
    <t>Wheaten Chaff</t>
  </si>
  <si>
    <t>Wheaten Chaff 20kg</t>
  </si>
  <si>
    <t>Combo Chaff</t>
  </si>
  <si>
    <t>Combo Chaff 25kg</t>
  </si>
  <si>
    <t>Oaten Hay COMPRESSED Small Square</t>
  </si>
  <si>
    <t>Compressed Oaten Hay</t>
  </si>
  <si>
    <t>Oaten Hay COMPRESSED Small Square order in multiples of 12 or 18</t>
  </si>
  <si>
    <t>Steamed and Rolled Barley 20kg</t>
  </si>
  <si>
    <t>Custom Mix</t>
  </si>
  <si>
    <t>We can custom mix by request.</t>
  </si>
  <si>
    <t>Specialty Pigeon Breeder 20kg</t>
  </si>
  <si>
    <t>Grain Mixes</t>
  </si>
  <si>
    <t>Rice Hulls</t>
  </si>
  <si>
    <t>Uncategorized</t>
  </si>
  <si>
    <t>Rice Hulls Large Bag Approx 110kg</t>
  </si>
  <si>
    <t>Top Shelf Maize Cleaned &amp; Graded in Bulka Bag</t>
  </si>
  <si>
    <t>Contract cleaning &amp; bagging Maize in Bulka Bag supplied by customer charged at per KG rate</t>
  </si>
  <si>
    <t>Top Shelf Red Wheat Cleaned &amp; Graded in Bulka Bag</t>
  </si>
  <si>
    <t>Contract cleaning &amp; bagging Red Wheat in Bulka Bag supplied by customer charged at per KG rate</t>
  </si>
  <si>
    <t>Organic IMPORTED Yellow Maize 25kg</t>
  </si>
  <si>
    <t>Contract Bagging Organic IMPORTED Yellow Maize 25kg Supplied by Customer Charged at per 25kg Bag</t>
  </si>
  <si>
    <t>Pea Straw Small Square</t>
  </si>
  <si>
    <t>Pea Straw</t>
  </si>
  <si>
    <t>Pea Straw small square order in multiples of 12 or 18</t>
  </si>
  <si>
    <t>Wheat Cleaned &amp; Graded in Bulka Bag</t>
  </si>
  <si>
    <t>Specialty Luv Bird Breeder 20kg</t>
  </si>
  <si>
    <t>Specialty Pigeon Breeder 10kg</t>
  </si>
  <si>
    <t>Specialty Luv Bird Breeder 10kg</t>
  </si>
  <si>
    <t>Rod's Pigeon Mix</t>
  </si>
  <si>
    <t>Rod's Pigeon Mix 20kg</t>
  </si>
  <si>
    <t>Rod's Pigeon Mix with Popcorn</t>
  </si>
  <si>
    <t>Rod's Pigeon Mix with Popcorn 20kg</t>
  </si>
  <si>
    <t>Sorghum Cleaned &amp; Graded Bulka Bag</t>
  </si>
  <si>
    <t>Sorghum Bulka</t>
  </si>
  <si>
    <t>Safflower Cleaned &amp; Graded Bulka Bag</t>
  </si>
  <si>
    <t>Safflower Bulka</t>
  </si>
  <si>
    <t>Popcorn Cleaned &amp; Graded Bulka Bag</t>
  </si>
  <si>
    <t>Popcorn Bulka</t>
  </si>
  <si>
    <t>Maize Meal 20kg</t>
  </si>
  <si>
    <t>Packing of Bulkas</t>
  </si>
  <si>
    <t>Performance Layer 15 Pellet</t>
  </si>
  <si>
    <t>Performance Layer 15</t>
  </si>
  <si>
    <t>Performance Layer 15 is a complete diet of premium grains, meals, vitamins and minerals formulated to keep hens healthy, happy and productive.</t>
  </si>
  <si>
    <t>All Rounder Pellet</t>
  </si>
  <si>
    <t>All Rounder Pellet is a blend of quality ingredients formulated for general purpose nutrition for most farm animals.</t>
  </si>
  <si>
    <t>Specialty Pigeon Breeder Bulka Bag</t>
  </si>
  <si>
    <t>Pigeon Grit Digestive Aid</t>
  </si>
  <si>
    <t>Pigeon Grit</t>
  </si>
  <si>
    <t>Bird Grits</t>
  </si>
  <si>
    <t>Mc Mahon's Pigeon Grit is made from crushed sea shells and is a popular mineral &amp; calcium supplement and aids digestion in birds. Pigeon grit has added charcoal and an additive which makes the grit more attractive to pigeons and gives it its pinkish colour.</t>
  </si>
  <si>
    <t>Hobby Pig Mash</t>
  </si>
  <si>
    <t>Hoppypigmash</t>
  </si>
  <si>
    <t>Rabbit Pellets 20kg</t>
  </si>
  <si>
    <t>Highly palatable lucerne based pellet with wheat, barley, lupins, oats, soy &amp; canola meal Molasses plus vitamins and minerals for commercial breeding, lactation and growth of rabbits. Min 16% protein</t>
  </si>
  <si>
    <t>Top Shelf Barley Cleaned &amp; Graded in Bulka Bag</t>
  </si>
  <si>
    <t>Contract cleaning &amp; bagging Barley in Bulka Bag supplied by customer charged at per KG rate</t>
  </si>
  <si>
    <t>Peas Bulka Bag</t>
  </si>
  <si>
    <t>Ian McKay Sprint - NO GREY SUNFLOWERS</t>
  </si>
  <si>
    <t>Sprint - No Grey Sunflowers</t>
  </si>
  <si>
    <t>Moulting - No Grey Sunflower</t>
  </si>
  <si>
    <t>Chickpeas</t>
  </si>
  <si>
    <t>Freight Pick Up ex Melbourne Area</t>
  </si>
  <si>
    <t>Pallet Return</t>
  </si>
  <si>
    <t>VDP Drink Up Bulk</t>
  </si>
  <si>
    <t>Horse Mixes</t>
  </si>
  <si>
    <t>VDP Aged Care Mix Bulka Bag</t>
  </si>
  <si>
    <t>VDP Un Tie 20kg</t>
  </si>
  <si>
    <t>Steam Rolled Barley Bulka</t>
  </si>
  <si>
    <t>VDP McEvoy Pre Train 15kg</t>
  </si>
  <si>
    <t>Whole Wheat Cleaned &amp; Graded 20kg</t>
  </si>
  <si>
    <t>Wheat</t>
  </si>
  <si>
    <t>Wheat is an important source of Carbohydrates, it is also a leading source of protein having a protein content of about 13%. When eaten as a whole grain it is a source of multiple nutrients and dietry fibre._x000D_
Wheat can be fed to pigs, poultry, cattle, sheep and horses.</t>
  </si>
  <si>
    <t>Whole Oats Cleaned &amp; Graded 20kg</t>
  </si>
  <si>
    <t>Oats</t>
  </si>
  <si>
    <t>Oats are used as feed ingredients for such animals as horses, cattle, ruminants, sheep and pigs. However oats as a grain have a lower nutritional value than maize and some cereals and cannot meet the energy requirements of high yielding animals.</t>
  </si>
  <si>
    <t>Yarran Oats Cleaned &amp; Graded 20kg</t>
  </si>
  <si>
    <t>Yarran Oats</t>
  </si>
  <si>
    <t>Yarran Oats are earlier maturing larger grain with high test weight, good protein %. They have a low husk linin content for digestibility ideally suited to horses.</t>
  </si>
  <si>
    <t>Oaten Hay Small Square</t>
  </si>
  <si>
    <t>Oaten Hay</t>
  </si>
  <si>
    <t>Oaten Hay Small Square order in Multiples of 12 or 18</t>
  </si>
  <si>
    <t>Bedding Straw Small Square</t>
  </si>
  <si>
    <t>Bedding Straw</t>
  </si>
  <si>
    <t>Bedding Straw Small Square order in Multiples of 12 or 18</t>
  </si>
  <si>
    <t>Lucerne Hay Small Square</t>
  </si>
  <si>
    <t>Lucerne Hay</t>
  </si>
  <si>
    <t>Lucerne Hay Small Square order in multiples of 12 or 18</t>
  </si>
  <si>
    <t>Teff Hay Small Square</t>
  </si>
  <si>
    <t>Teff Hay</t>
  </si>
  <si>
    <t>Teff Hay Small Square order in multiples of 12 or 18</t>
  </si>
  <si>
    <t>Ian McKay Breeder Maize 20kg</t>
  </si>
  <si>
    <t>Breeder Maize</t>
  </si>
  <si>
    <t>This mix was developed, as the name suggests, to feed in the stock loft once breeding has commenced. It contains the pulse legumes, dun peas and vetch. This allows the parents to feed the growing youngsters plenty of protein for growth. It also has maize, milo, hard wheat, safflower, linseed, white millet, plain canary, canola and hulled oats. Begin two weeks before pairing-up. You can also continue to feed the growing squeakers on a controlled diet until training begins prior to racing.</t>
  </si>
  <si>
    <t>Barley Cleaned &amp; Graded 20kg</t>
  </si>
  <si>
    <t>Barley</t>
  </si>
  <si>
    <t>Barley when properly processed, mixed and fed is an excellent feed grain. It can be used in growing and finishing diets for feedlot cattle, as a supplement in forage rations for replacement heifers, and as an energy and protein source for gestating and lactating beef cows.</t>
  </si>
  <si>
    <t>Maize Cleaned &amp; Graded 20kg</t>
  </si>
  <si>
    <t>Maize</t>
  </si>
  <si>
    <t>High in energy maize is a popular concentrated grain particularly suitable for use with performance horses especially racehorses. Cracking the corn kernel increases palatability and digestibility. Maize is suitable as a supplementary feed for horses, cattle, sheep, poultry and pigs.</t>
  </si>
  <si>
    <t>Popcorn Cleaned &amp; Graded 20kg</t>
  </si>
  <si>
    <t>Popcorn</t>
  </si>
  <si>
    <t>Black Sunflowers Cleaned &amp; Graded 20kg  [32 per pallet]</t>
  </si>
  <si>
    <t>Black Sunflowers</t>
  </si>
  <si>
    <t>High in crude protein and fat content of 26%, black sunflowers make excellent coat conditioner when added to the feed of show and performance horses. Poultry and birds love the taste of sunflower seeds grey and black are suitable as a supplementary feed for horses, cattle, sheep, poultry and pigs.</t>
  </si>
  <si>
    <t>Canola Cleaned &amp; Graded 20kg</t>
  </si>
  <si>
    <t>Canola</t>
  </si>
  <si>
    <t>Premium protein for animal diets. With high protein content and excellent amino acid profile it is proven to support high levels of production in livestock species. Its readily digested and highly palatable, making it perfect replacement for other vegetable proteins in all livestock rations.</t>
  </si>
  <si>
    <t>Linseed Cleaned &amp; Graded 20kg</t>
  </si>
  <si>
    <t>Linseed</t>
  </si>
  <si>
    <t>Linseed can be used as feed for poultry, pigs and cattle because its a good source of protein, oil and energy although whole linseed can only be used with Poultry.</t>
  </si>
  <si>
    <t>White French Millet Cleaned &amp; Graded 20kg</t>
  </si>
  <si>
    <t>White French Millet</t>
  </si>
  <si>
    <t>White French Millet is a premium millet suitable for various types of birds. Millets are rich in Carbohydrates and low in fibre,</t>
  </si>
  <si>
    <t>Mung Beans Cleaned &amp; Graded 25kg</t>
  </si>
  <si>
    <t>Mung Beans</t>
  </si>
  <si>
    <t>Mung Beans are popular for pigeons and as sprouting seed for parrots.</t>
  </si>
  <si>
    <t>Brown Rice 25kg</t>
  </si>
  <si>
    <t>Brown Rice</t>
  </si>
  <si>
    <t>Brown Rice is a novel ingredient that contains natural fibre anti-oxidants, and is rich in selenium and high in manganese.</t>
  </si>
  <si>
    <t>Ian McKay Breeder Popcorn 20kg</t>
  </si>
  <si>
    <t>Breeder Popcorn</t>
  </si>
  <si>
    <t>Ian McKay Budget Pigeon Mix 20kg</t>
  </si>
  <si>
    <t>Budget</t>
  </si>
  <si>
    <t>Consisting of dun peas, hard wheat, milo, maize, barley, safflower and vetch. Budget mix is used during the non-stress periods when the stock birds are not paired and when the race birds are not in training.</t>
  </si>
  <si>
    <t>Ian McKay Depurative 20kg</t>
  </si>
  <si>
    <t>Depurative</t>
  </si>
  <si>
    <t>Mixed as a resting seed when racing widowhood but now fed to returning race birds by fanciers. Used mainly to provide a high fibre, low protein diet.</t>
  </si>
  <si>
    <t>Ian McKay Fancy 20kg</t>
  </si>
  <si>
    <t>Fancy</t>
  </si>
  <si>
    <t>This is a popular mix for the fancy bird fancier. No large maize is used to allow for the smaller beak varieties of birds.</t>
  </si>
  <si>
    <t>Ian McKay Hicarb 20kg</t>
  </si>
  <si>
    <t>Hicarb</t>
  </si>
  <si>
    <t>A mix of dun peas, vetch, hard wheat, maize, milo, brown rice, hulled oats and safflower. This mix has been formulated for the fancier wishing to use the modern approach of less pulses and a higher % mix of carbohydrate grains. The fancier should be aware that feeding too much carbohydrate grains will promote a build up of body fat, if not burnt off in training. This mix is best fed in a controlled diet.</t>
  </si>
  <si>
    <t>Ian McKay Moulting 20kg</t>
  </si>
  <si>
    <t>Moulting</t>
  </si>
  <si>
    <t>This mix was developed based on one of the European formulas and formulated to use with available Australian grains. Fed to provide for an excellent moult in stock birds and is fed at the completion of breeding until two weeks prior to pairing. Can also be fed to old birds in the race team after the race season. Higher protein mixes are recommended for the growing young birds.</t>
  </si>
  <si>
    <t>Ian McKay NPM 20kg</t>
  </si>
  <si>
    <t>NPM</t>
  </si>
  <si>
    <t>This is a mix without peas consisting of hard wheat, milo, maize and safflower.</t>
  </si>
  <si>
    <t>Ian McKay Trapping</t>
  </si>
  <si>
    <t>Trapping</t>
  </si>
  <si>
    <t>Consisting of safflower, milo, plain canary, white millet, hulled oats, canola and linseed. This is used as the name suggests but can also be used as a conditioning mix for the longer races due to the higher fat content.</t>
  </si>
  <si>
    <t>Wild Bird - Budget 20kg</t>
  </si>
  <si>
    <t>Wild Bird</t>
  </si>
  <si>
    <t>Birdseed Mixes</t>
  </si>
  <si>
    <t>Lucerne Chaff</t>
  </si>
  <si>
    <t>Lucerne Chaff 20kg</t>
  </si>
  <si>
    <t>Yarran Oats Cleaned &amp; Graded in Bulka Bag</t>
  </si>
  <si>
    <t>Oats Cleaned &amp; Graded in Bulka Bag</t>
  </si>
  <si>
    <t>Yellow Maize 25kg</t>
  </si>
  <si>
    <t>Contract Bagging Yellow Maize 25kg Supplied by Customer Charged at per 25kg Bag</t>
  </si>
  <si>
    <t>White Maize Cleaned &amp; Graded in Bulka Bag</t>
  </si>
  <si>
    <t>Contract cleaning &amp; bagging White Maize in Bulka Bag supplied by customer charged at per KG rate</t>
  </si>
  <si>
    <t>Ian McKay NPM with Popcorn 20kg</t>
  </si>
  <si>
    <t>NPM with Popcorn 20kg</t>
  </si>
  <si>
    <t>This is a mix without peas consisting of hard wheat, milo, popcorn and safflower.</t>
  </si>
  <si>
    <t>Oats Cleaned &amp; Graded in Bulk</t>
  </si>
  <si>
    <t>New Bags</t>
  </si>
  <si>
    <t>White Maize 25kg</t>
  </si>
  <si>
    <t>Contract Bagging White Maize 25kg Supplied by Customer Charged at per 25kg Bag</t>
  </si>
  <si>
    <t>Organic LOCAL Yellow Maize 20kg</t>
  </si>
  <si>
    <t>Contract Bagging Organic LOCAL Yellow Maize 20kg Supplied by Customer Charged at per 20kg Bag</t>
  </si>
  <si>
    <t>Specialty Wildbird Breeder 20kg</t>
  </si>
  <si>
    <t>Specialty Parrot Breeder 20kg</t>
  </si>
  <si>
    <t>Specialty Wildbird Breeder Bulka Bag</t>
  </si>
  <si>
    <t>Specialty Parrot Breeder Bulka Bag</t>
  </si>
  <si>
    <t>Specialty Budgie Breeder 20kg</t>
  </si>
  <si>
    <t>Specialty Canary Breeder 20kg</t>
  </si>
  <si>
    <t>Specialty Finch Breeder 20kg</t>
  </si>
  <si>
    <t>Specialty Luv Bird Breeder Bulka Bag</t>
  </si>
  <si>
    <t>Specialty Budgie Breeder 10kg</t>
  </si>
  <si>
    <t>Specialty Wildbird Breeder 10kg</t>
  </si>
  <si>
    <t>Specialty Canary Breeder 10kg</t>
  </si>
  <si>
    <t>Specialty Parrot Breeder 10kg</t>
  </si>
  <si>
    <t>Specialty BLUE Budgie Breeder 20kg</t>
  </si>
  <si>
    <t>Specialty Blue Sky Parrot 20kg</t>
  </si>
  <si>
    <t>Yellow Maize Cleaned &amp; Graded in Bulka Bag</t>
  </si>
  <si>
    <t>Contract cleaning &amp; bagging Yellow Maize in Bulka Bag supplied by customer charged at per KG rate</t>
  </si>
  <si>
    <t>Cracked Maize 20kg</t>
  </si>
  <si>
    <t>Cracked Maize</t>
  </si>
  <si>
    <t>Plain Canary 20kg</t>
  </si>
  <si>
    <t>Plain Canary</t>
  </si>
  <si>
    <t>Plain Canary Seed is a premium canary seed. Canary seed is an important element it the diet of all canaries but must be used in conjunction with other seeds. Canary seed is grown in Australia and is considered an important component in bird seed mixes because of its palatability and nutritional content. It is low in carbohydrates and high in fibre in comparison to other millets and is a good source of food which is not fattening.</t>
  </si>
  <si>
    <t>Specialty Budgie Breeder Bulka Bag</t>
  </si>
  <si>
    <t>Ian McKay SYDNEY Depurative 20kg</t>
  </si>
  <si>
    <t>SYDNEY Depurative</t>
  </si>
  <si>
    <t>SYDNEY Depurative Mixed as a resting seed when racing widowhood but now fed to returning race birds by fanciers. Used mainly to provide a high fibre, low protein diet.</t>
  </si>
  <si>
    <t>Ian McKay SYDNEY Hicarb 20kg</t>
  </si>
  <si>
    <t>SYDNEY Hicarb</t>
  </si>
  <si>
    <t>SYDNEY Hicarb A mix of dun peas, vetch, hard wheat, maize, milo, brown rice, hulled oats and safflower. This mix has been formulated for the fancier wishing to use the modern approach of less pulses and a higher % mix of carbohydrate grains. The fancier should be aware that feeding too much carbohydrate grains will promote a build up of body fat, if not burnt off in training. This mix is best fed in a controlled diet.</t>
  </si>
  <si>
    <t>Hard Wheat</t>
  </si>
  <si>
    <t>High-quality hard wheat, suitable for poultry, pigeons, parrots and for use in heat packs. Wheat grains are very popular for feeding chickens and pigeons especially.</t>
  </si>
  <si>
    <t>Ian McKay Fancy Mungbean</t>
  </si>
  <si>
    <t>Fancy Mungbean</t>
  </si>
  <si>
    <t>Fancy Mungbean This is a popular mix for the fancy bird fancier. No large maize is used to allow for the smaller beak varieties of birds with added Mungbeans</t>
  </si>
  <si>
    <t>Hulled Oats</t>
  </si>
  <si>
    <t>Hulled Oats are oats that have had their outer husk removed. Hulled Oats are used as an ingredient in seed mixes for a variety of smaller birds including, budgies, cockatiels, peachfaces / lovebirds, &amp; canaries.</t>
  </si>
  <si>
    <t>Organic LOCAL Yellow Maize Bulka Bag    Organic Cert. SXC 20085</t>
  </si>
  <si>
    <t>Contract Bagging Organic LOCAL Yellow Maize in Bulka Bags Supplied by Customer Charged at per kg     Organic Cert. SXC 20085</t>
  </si>
  <si>
    <t>Barley Cleaned &amp; Graded Bulka Bag</t>
  </si>
  <si>
    <t>Barley Bulka</t>
  </si>
  <si>
    <t>Ian McKay Super Mungbean Mix</t>
  </si>
  <si>
    <t>Super Mungbean Mix</t>
  </si>
  <si>
    <t>Super Mungbean Mix Fancy Mungbean This is a popular mix for the fancy bird fancier. No large maize is used to allow for the smaller beak varieties of birds with added Mungbeans</t>
  </si>
  <si>
    <t>Specialty Finch Breeder Bulka Bag</t>
  </si>
  <si>
    <t>Cracked Maize Bulka Bag</t>
  </si>
  <si>
    <t>Specialty Sky Blue Budgie 20kg</t>
  </si>
  <si>
    <t>Black Sunflowers Cleaned &amp; Graded Bulka Bag</t>
  </si>
  <si>
    <t>Mayreef Gold Layer Mix</t>
  </si>
  <si>
    <t>Poultry Mix</t>
  </si>
  <si>
    <t>Mayreef Gold Layer Mix is a complete diet of premium quality grains, meals, vitamins and minerals formulated to keep hens healthy, happy and productive. INGREDIENTS Barley, wheat, sorghum, maize, lucerne pellets, black sunflower, cracked lupins, canola meal, molafos oil, shell grit, calcium, salt and vitamins and minerals. TYPICAL ANALYSIS Protein (min): 15.05% Energy: 11.29MJ/KG Calcium: 3.48% Crude fibre (max): 3.98% Added salt (max): 0.40% USE BY: 6 months from date of manufacture. This product is for its intended purposes free from harmful residues.</t>
  </si>
  <si>
    <t>Cracked Lupins Cleaned and Graded 20kg</t>
  </si>
  <si>
    <t>Lupin hulls are particularly high in digestible fibre and are therefore an excellent addition to horse rations as a source of highly nutritious slow-release sustained energy. They are referred to as a â€˜Super Fibreâ€™ by many horse nutritionists, along with beet pulp and other types of legume hulls (eg soy hulls). The billions upon billions of beneficial gut microflora that colonise horsesâ€™ hindgut (large intestines) ferment the digestible fibre in lupins and lupin hulls (and other high fibre feeds) and break it down into volatile fatty acids. These VFAs are then converted inside horsesâ€™ bodies to glucose (the form of energy all living cells require), glycogen (which is glucose stored in the muscles for use when required) and fat.</t>
  </si>
  <si>
    <t>Torq Cockatoo 20kg</t>
  </si>
  <si>
    <t>Torq Parrot 20kg</t>
  </si>
  <si>
    <t>Yellow Panorama Millet 20kg</t>
  </si>
  <si>
    <t>Panorama Millet is similar to Hungarian Millet and is a popular ingredient in various finch and budgie seed mixes.</t>
  </si>
  <si>
    <t>Whole Lupins Cleaned &amp; Graded 20kg</t>
  </si>
  <si>
    <t>Mayreef Gold Layer Mix Bulka Bag</t>
  </si>
  <si>
    <t>Stock Mix 20kg</t>
  </si>
  <si>
    <t>Stock Mix</t>
  </si>
  <si>
    <t>Lovebird Mix 8 x 1.5kg Bags</t>
  </si>
  <si>
    <t>Lovebird Mix 1.5kg</t>
  </si>
  <si>
    <t>Handy Pack size for the customer who has just a few birds. Small enough to post in the mail for online orders</t>
  </si>
  <si>
    <t>Wildbird Mix 8 x 1.5kg Bags</t>
  </si>
  <si>
    <t>Wildbird Mix 1.5kg</t>
  </si>
  <si>
    <t>Budgie Mix 8 x 1.5kg Bags</t>
  </si>
  <si>
    <t>Budgie Mix 1.5kg</t>
  </si>
  <si>
    <t>Parrot Mix 8 x 1.5kg Bags</t>
  </si>
  <si>
    <t>Parrot Mix 1.5kg</t>
  </si>
  <si>
    <t>Specialty Canary Breeder Bulka Bag</t>
  </si>
  <si>
    <t>VDP Chook Mix</t>
  </si>
  <si>
    <t>VDP Chook Mix 20kg</t>
  </si>
  <si>
    <t>VDP Wildbird Mix</t>
  </si>
  <si>
    <t>VDP Wildbird Mix 20kg</t>
  </si>
  <si>
    <t>VDP Pigeon Mix</t>
  </si>
  <si>
    <t>VDP Lovebird Mix</t>
  </si>
  <si>
    <t>VDP Lovebird Mix 20kg</t>
  </si>
  <si>
    <t>VDP Budgie Mix</t>
  </si>
  <si>
    <t>VDP Canary Mix</t>
  </si>
  <si>
    <t>VDP Finch Mix</t>
  </si>
  <si>
    <t>Vetch Cleaned &amp; Graded Bulka Bag</t>
  </si>
  <si>
    <t>Vetch Bulka Bag</t>
  </si>
  <si>
    <t>Plain Canary Bulka Bag</t>
  </si>
  <si>
    <t>Plain Canary Cleaned &amp; Graded Bulka Bag</t>
  </si>
  <si>
    <t>Whole Lupins Cleaned &amp; Graded Bulka Bag</t>
  </si>
  <si>
    <t>Medium Shell Grit</t>
  </si>
  <si>
    <t>Shell grit is made from crushed shells and is a popular mineral &amp; calcium supplement for poultry and parrots.</t>
  </si>
  <si>
    <t>VDP Parrot Mix</t>
  </si>
  <si>
    <t>VDP Chook Mix Pellets</t>
  </si>
  <si>
    <t>Gibbs Pigeon Mix 20kg</t>
  </si>
  <si>
    <t>Gibbs Pigeon Mix</t>
  </si>
  <si>
    <t>Wildbird Mix 20kg</t>
  </si>
  <si>
    <t>Budgie Mix 20kg</t>
  </si>
  <si>
    <t>Parrot Mix 20kg</t>
  </si>
  <si>
    <t>Lovebird Mix 20kg</t>
  </si>
  <si>
    <t>Grey Sunflowers Cleaned &amp; Graded 20kg</t>
  </si>
  <si>
    <t>Grey Sunflowers Cleaned &amp; Graded</t>
  </si>
  <si>
    <t>Although commonly used as bird seed, did you know that grey striped sunflower seed sprouts are highly nutritious containing high amounts of vitamin E, calcium, zinc, potassium, magnesium and amino acids.</t>
  </si>
  <si>
    <t>Grey Sunflowers Cleaned &amp; Graded Bulka Bag</t>
  </si>
  <si>
    <t>Cracked Oats</t>
  </si>
  <si>
    <t>Crushedoats</t>
  </si>
  <si>
    <t>Cracked Barley</t>
  </si>
  <si>
    <t>crackedbarley</t>
  </si>
  <si>
    <t>Cracked Wheat</t>
  </si>
  <si>
    <t>Cracked Wheat 20kg</t>
  </si>
  <si>
    <t>BarleyMax Cleaning in Bulk</t>
  </si>
  <si>
    <t>Hulled Oats in Bulka Bag</t>
  </si>
  <si>
    <t>Hunter Stockfeeds Canary 20kg</t>
  </si>
  <si>
    <t>Hunter Stockfeeds Finch 20kg</t>
  </si>
  <si>
    <t>Cracked Lupins Cleaned and Graded Bulka Bag</t>
  </si>
  <si>
    <t>VDP IRT Sweetfeed 20kg</t>
  </si>
  <si>
    <t>VDP IRT Non Oat 20kg</t>
  </si>
  <si>
    <t>VDP IRT Oat 20kg</t>
  </si>
  <si>
    <t>VDP Custom Spelling 20kg</t>
  </si>
  <si>
    <t>VDP Gold 20kg</t>
  </si>
  <si>
    <t>VDP Gold Bulk</t>
  </si>
  <si>
    <t>VDP Brown 20kg</t>
  </si>
  <si>
    <t>VDP Brown Bulk</t>
  </si>
  <si>
    <t>VDP Green 20kg</t>
  </si>
  <si>
    <t>VDP Green Bulk</t>
  </si>
  <si>
    <t>VDP Blue 20kg</t>
  </si>
  <si>
    <t>VDP Blue Bulk</t>
  </si>
  <si>
    <t>VDP Grampians Gold 20kg</t>
  </si>
  <si>
    <t>VDP Grampians Gold Bulk</t>
  </si>
  <si>
    <t>VDP Grampians Brown 20kg</t>
  </si>
  <si>
    <t>VDP Grampians Brown Bulk</t>
  </si>
  <si>
    <t>VDP Grampians Green 20kg</t>
  </si>
  <si>
    <t>VDP Grampians Green Bulk</t>
  </si>
  <si>
    <t>VDP McEvoy Race 15kg</t>
  </si>
  <si>
    <t>VDP McEvoy Race Bulk</t>
  </si>
  <si>
    <t>VDP McEvoy AM 12kg</t>
  </si>
  <si>
    <t>VDP McEvoy AM Bulk</t>
  </si>
  <si>
    <t>VDP IRT Oat Bulk</t>
  </si>
  <si>
    <t>VDP IRT Non Oat Bulk</t>
  </si>
  <si>
    <t>VDP IRT Sweetfeed Bulk</t>
  </si>
  <si>
    <t>VDP Feek 20kg</t>
  </si>
  <si>
    <t>VDP Feek Bulk</t>
  </si>
  <si>
    <t>VDP McGuigan 20kg</t>
  </si>
  <si>
    <t>VDP McGuigan Bulk</t>
  </si>
  <si>
    <t>VDP Tyler 20kg</t>
  </si>
  <si>
    <t>VDP Nigel Racing 20kg</t>
  </si>
  <si>
    <t>VDP Nigel Racing Bulk</t>
  </si>
  <si>
    <t>VDP Nigel Filly 20kg</t>
  </si>
  <si>
    <t>VDP Nigel Filly Bulk</t>
  </si>
  <si>
    <t>VDP PHF Mash 20kg</t>
  </si>
  <si>
    <t>VDP PHF Mash Bulk</t>
  </si>
  <si>
    <t>VDP Spelling 20kg</t>
  </si>
  <si>
    <t>VDP Spelling Bulk</t>
  </si>
  <si>
    <t>VDP Drink Up 20kg</t>
  </si>
  <si>
    <t>VDP Aged Care Mix 20kg</t>
  </si>
  <si>
    <t>VDP EMS Mix 20kg</t>
  </si>
  <si>
    <t>VDP EMS Mix Bulk</t>
  </si>
  <si>
    <t>VDP Cumani Brown 20kg</t>
  </si>
  <si>
    <t>VDP Cumani Brown Bulk</t>
  </si>
  <si>
    <t>VDP Cumani Green 20kg</t>
  </si>
  <si>
    <t>VDP Cumani Green Bulk</t>
  </si>
  <si>
    <t>VDP Cumani Gold 20kg</t>
  </si>
  <si>
    <t>VDP Cumani Gold Bulk</t>
  </si>
  <si>
    <t>VDP Cumani Blue 20kg</t>
  </si>
  <si>
    <t>VDP Cumani Blue Bulk</t>
  </si>
  <si>
    <t>VDP Blackiston Filly Bulk</t>
  </si>
  <si>
    <t>VDP Donaldson Aitken 20kg</t>
  </si>
  <si>
    <t>VDP O'Farrell Pre Train Bulk</t>
  </si>
  <si>
    <t>VDP HSP Work Horse Bulka Bag</t>
  </si>
  <si>
    <t>VDP Kendall Race Bulka Bag</t>
  </si>
  <si>
    <t>VDP Race Mix 20kg</t>
  </si>
  <si>
    <t>VDP Race Mix Bulk</t>
  </si>
  <si>
    <t>AgriBarn Poultry Mix</t>
  </si>
  <si>
    <t>VDP Dickson Bulk</t>
  </si>
  <si>
    <t>VDP Dickson 20kg</t>
  </si>
  <si>
    <t>VDP Tyler Bulk</t>
  </si>
  <si>
    <t>ABC SKU</t>
  </si>
  <si>
    <t>ABC</t>
  </si>
  <si>
    <t>Peckish Free Range Layer Mix 18kg</t>
  </si>
  <si>
    <t>Peckish Wild Bird Mix 20kg</t>
  </si>
  <si>
    <t>Peckish Performance Layer Mix 18kg</t>
  </si>
  <si>
    <t>Peckish Wheat 20kg</t>
  </si>
  <si>
    <t>Peckish Pigeon Mix 20kg</t>
  </si>
  <si>
    <t>VDP Manning 15kg</t>
  </si>
  <si>
    <t>VDP Feek Trial 20kg</t>
  </si>
  <si>
    <t>VDP Feek Trial w Chaff 20kg</t>
  </si>
  <si>
    <t>Chook Tucker</t>
  </si>
  <si>
    <t>Chook Tucker 20kg</t>
  </si>
  <si>
    <t>Steam Rolled Barley 20kg</t>
  </si>
  <si>
    <t>Steam Rolled Oats 20kg</t>
  </si>
  <si>
    <t>Container Packing - Bags 25kg</t>
  </si>
  <si>
    <t>Container Packing - Bags</t>
  </si>
  <si>
    <t>Container Packing - Bulkas</t>
  </si>
  <si>
    <t>VDP Pateman 20kg</t>
  </si>
  <si>
    <t>VDP Manning Bulk</t>
  </si>
  <si>
    <t>VDP Nathan Jack Pre Train Bulk</t>
  </si>
  <si>
    <t>VDP McEvoy Pre Train Bulk</t>
  </si>
  <si>
    <t>Buy price</t>
  </si>
  <si>
    <t>Price</t>
  </si>
  <si>
    <t>Per Kg</t>
  </si>
  <si>
    <t>Per Std</t>
  </si>
  <si>
    <t>Client</t>
  </si>
  <si>
    <t>Mix / Product Name</t>
  </si>
  <si>
    <t>Standard or Bulka</t>
  </si>
  <si>
    <t>Own Bag</t>
  </si>
  <si>
    <t>Std Unit of Measure</t>
  </si>
  <si>
    <t>Items Per Pallet</t>
  </si>
  <si>
    <t>Bagging Process</t>
  </si>
  <si>
    <t>Distributor</t>
  </si>
  <si>
    <t>Cleaned Product</t>
  </si>
  <si>
    <t>Grading</t>
  </si>
  <si>
    <t>Bagging</t>
  </si>
  <si>
    <t>Cracking</t>
  </si>
  <si>
    <t>Bag Cost</t>
  </si>
  <si>
    <t>Freight Cost</t>
  </si>
  <si>
    <t>Finished Product Delivered</t>
  </si>
  <si>
    <t>Cost Inputs</t>
  </si>
  <si>
    <t>Price Inputs</t>
  </si>
  <si>
    <t>Specialty</t>
  </si>
  <si>
    <t>Pigeon Mix</t>
  </si>
  <si>
    <t>Standard</t>
  </si>
  <si>
    <t>Yes</t>
  </si>
  <si>
    <t>Bagging + Grading</t>
  </si>
  <si>
    <t>All Mix</t>
  </si>
  <si>
    <t>Specialty Wild Bird Mix</t>
  </si>
  <si>
    <t>Process Cost</t>
  </si>
  <si>
    <t>Per Ton</t>
  </si>
  <si>
    <t>Bulka</t>
  </si>
  <si>
    <t>No Bag</t>
  </si>
  <si>
    <t>Standard Bagging</t>
  </si>
  <si>
    <t>Parrot Mix</t>
  </si>
  <si>
    <t>PHF Horse Mixes</t>
  </si>
  <si>
    <t>N/A</t>
  </si>
  <si>
    <t>1.5 kg</t>
  </si>
  <si>
    <t>Per Unit</t>
  </si>
  <si>
    <t>Peckish</t>
  </si>
  <si>
    <t>Budgie Mix</t>
  </si>
  <si>
    <t>HunterBird</t>
  </si>
  <si>
    <t>Canary Mix</t>
  </si>
  <si>
    <t>Poultry &amp; Pig</t>
  </si>
  <si>
    <t>Luv Bird Mix</t>
  </si>
  <si>
    <t>Straight Grain</t>
  </si>
  <si>
    <t>Finch Mix</t>
  </si>
  <si>
    <t>VDP</t>
  </si>
  <si>
    <t>Blue Budgie</t>
  </si>
  <si>
    <t>Blue Sky Parrot Mix</t>
  </si>
  <si>
    <t>Std Bag Costs</t>
  </si>
  <si>
    <t>20 kg Bag</t>
  </si>
  <si>
    <t>each</t>
  </si>
  <si>
    <t>Slip Sheet</t>
  </si>
  <si>
    <t>Blue Sky Budgie Mix</t>
  </si>
  <si>
    <t>Bulka Bag</t>
  </si>
  <si>
    <t>Wrap</t>
  </si>
  <si>
    <t>If own Bag</t>
  </si>
  <si>
    <t>20kg Bag</t>
  </si>
  <si>
    <t>1.5 kg Bagging</t>
  </si>
  <si>
    <t>Torq Cockatoo</t>
  </si>
  <si>
    <t>Peckish Bag</t>
  </si>
  <si>
    <t>Torq Parrot</t>
  </si>
  <si>
    <t>1.5 kg Bragging</t>
  </si>
  <si>
    <t>Third Party</t>
  </si>
  <si>
    <t>????</t>
  </si>
  <si>
    <t>Breeders Popcorn</t>
  </si>
  <si>
    <t>Fuel Levy</t>
  </si>
  <si>
    <t xml:space="preserve">Fancy </t>
  </si>
  <si>
    <t>Freight/ Pallet</t>
  </si>
  <si>
    <t>per pallet</t>
  </si>
  <si>
    <t>Hi Carb</t>
  </si>
  <si>
    <t>Peckish Freight</t>
  </si>
  <si>
    <t>NPM Popcorn</t>
  </si>
  <si>
    <t xml:space="preserve">Race Popcorn </t>
  </si>
  <si>
    <t>Syd Hi Carb</t>
  </si>
  <si>
    <t>Sydney Depurative</t>
  </si>
  <si>
    <t xml:space="preserve">Trapping </t>
  </si>
  <si>
    <t>Fancy Mung</t>
  </si>
  <si>
    <t>Fancy Super Mung</t>
  </si>
  <si>
    <t>Rods Pigeon Popcorn</t>
  </si>
  <si>
    <t>Rods Pigeon Maize</t>
  </si>
  <si>
    <t>Custom Mix - 20kg Pigeon Mix</t>
  </si>
  <si>
    <t>Custom - Birdseed Mix</t>
  </si>
  <si>
    <t>Breeder Pre Mix 22kg</t>
  </si>
  <si>
    <t>Breeder Pre Mix</t>
  </si>
  <si>
    <t>VHA Mix</t>
  </si>
  <si>
    <t>Wildbird Mix - BUDGET</t>
  </si>
  <si>
    <t>Hunter - Budgie Mix</t>
  </si>
  <si>
    <t>Lovebird Mix</t>
  </si>
  <si>
    <t>Hunter - Parrot Mix</t>
  </si>
  <si>
    <t>Hunter Wildbird Mix</t>
  </si>
  <si>
    <t>IRT Sweetfeed</t>
  </si>
  <si>
    <t>IRT Non Oat</t>
  </si>
  <si>
    <t>IRT Oat</t>
  </si>
  <si>
    <t>Gold / Cumani Gold / Kendall Race</t>
  </si>
  <si>
    <t>Brown / Cumani Brown</t>
  </si>
  <si>
    <t>Green / Cumani Green</t>
  </si>
  <si>
    <t>Blue / Cumani Blue / Un Tie</t>
  </si>
  <si>
    <t>Grampians Gold</t>
  </si>
  <si>
    <t>Grampians Brown</t>
  </si>
  <si>
    <t>Grampians Green</t>
  </si>
  <si>
    <t>McEvoy Race</t>
  </si>
  <si>
    <t>McEvoy AM / First Feed</t>
  </si>
  <si>
    <t>McGuigan / O'Farrell No Oat / Pateman</t>
  </si>
  <si>
    <t>Tyler / Work Horse / O'Farrell Pre Train</t>
  </si>
  <si>
    <t>Race Mix</t>
  </si>
  <si>
    <t>Nigel Filly</t>
  </si>
  <si>
    <t>PHF Mash</t>
  </si>
  <si>
    <t>Spelling</t>
  </si>
  <si>
    <t>Drink Up</t>
  </si>
  <si>
    <t>EMS Mix</t>
  </si>
  <si>
    <t>Dickson</t>
  </si>
  <si>
    <t>Feek Trial</t>
  </si>
  <si>
    <t>Feek Trial w Chaff</t>
  </si>
  <si>
    <t>Old Horse Mix / Aged Care</t>
  </si>
  <si>
    <t>VDP Manning 20kg</t>
  </si>
  <si>
    <t>Manning</t>
  </si>
  <si>
    <t>McEvoy Pre Train</t>
  </si>
  <si>
    <t>Jack Pre Train</t>
  </si>
  <si>
    <t>Custom Mix - 20 kg</t>
  </si>
  <si>
    <t>Custom - HorseMix</t>
  </si>
  <si>
    <t>Custom Mix - Bulka</t>
  </si>
  <si>
    <t>Peckish Free Range Layer Mix</t>
  </si>
  <si>
    <t>Peckish Wild Bird Mix</t>
  </si>
  <si>
    <t>Peckish Performance Layer Mix</t>
  </si>
  <si>
    <t>Peckish Wheat</t>
  </si>
  <si>
    <t>Peckish Pigeon Mix</t>
  </si>
  <si>
    <t>VDP Chook Grain</t>
  </si>
  <si>
    <t>VDP Pigeon</t>
  </si>
  <si>
    <t>VDP Lovebird</t>
  </si>
  <si>
    <t>VDP Finch</t>
  </si>
  <si>
    <t>Grey Sunflowers</t>
  </si>
  <si>
    <t>Lupins</t>
  </si>
  <si>
    <t>Cleaned Oats</t>
  </si>
  <si>
    <t>Pano</t>
  </si>
  <si>
    <t>Steamed &amp; Rolled Barley</t>
  </si>
  <si>
    <t>Steamed &amp; Rolled Oats</t>
  </si>
  <si>
    <t>Mayreef Gold</t>
  </si>
  <si>
    <t>Labour services and Packaging</t>
  </si>
  <si>
    <t>Std Bagging</t>
  </si>
  <si>
    <t>Container Packing - Bags 20kg</t>
  </si>
  <si>
    <t>Container Packing - Bags 18kg</t>
  </si>
  <si>
    <t>Miscellaneous</t>
  </si>
  <si>
    <t>Cleaning &amp; Grading</t>
  </si>
  <si>
    <t>New Bulka Bag</t>
  </si>
  <si>
    <t>Manufacturing/ Profit Margin per tonne</t>
  </si>
  <si>
    <t>Invoice Price per Bag</t>
  </si>
  <si>
    <t>Unit of Measure</t>
  </si>
  <si>
    <t>Mix (From Product Cost)</t>
  </si>
  <si>
    <t>Cost per Mix</t>
  </si>
  <si>
    <t>Cleaned product</t>
  </si>
  <si>
    <t>Remove Cost</t>
  </si>
  <si>
    <t>Margin Cost</t>
  </si>
  <si>
    <t>Man Markup</t>
  </si>
  <si>
    <t>Remove raw mtl</t>
  </si>
  <si>
    <t>Delivered in Melb</t>
  </si>
  <si>
    <t>Ex works</t>
  </si>
  <si>
    <t>Freight</t>
  </si>
  <si>
    <t>Layer Protein Pellets</t>
  </si>
  <si>
    <t>Markup</t>
  </si>
  <si>
    <t>HorseMix</t>
  </si>
  <si>
    <t>Raw Materials</t>
  </si>
  <si>
    <t xml:space="preserve">Market Value Uncleaned Grain  </t>
  </si>
  <si>
    <t>Kg per unit of measure</t>
  </si>
  <si>
    <t>Waste
% of Loss</t>
  </si>
  <si>
    <t>Loss</t>
  </si>
  <si>
    <t>Cost per Unit of Measure</t>
  </si>
  <si>
    <t>Cost per Kg</t>
  </si>
  <si>
    <t>Sell Price (Std)</t>
  </si>
  <si>
    <t>Buy Price</t>
  </si>
  <si>
    <t>Acid Buf</t>
  </si>
  <si>
    <t>20 kg</t>
  </si>
  <si>
    <t>All Phase</t>
  </si>
  <si>
    <t>per ton</t>
  </si>
  <si>
    <t>Apple Flavouring</t>
  </si>
  <si>
    <t>Bran</t>
  </si>
  <si>
    <t>per bag 20kg</t>
  </si>
  <si>
    <t>Breed n Grow BMC</t>
  </si>
  <si>
    <t>Calm Performer</t>
  </si>
  <si>
    <t>Canola Meal</t>
  </si>
  <si>
    <t>Canola Oil</t>
  </si>
  <si>
    <t>Dicalicium Phosphate</t>
  </si>
  <si>
    <t>EO3 Oil</t>
  </si>
  <si>
    <t>18 lts</t>
  </si>
  <si>
    <t>Equijewel</t>
  </si>
  <si>
    <t>Fibre Phase</t>
  </si>
  <si>
    <t>KER Gold</t>
  </si>
  <si>
    <t>Last bag of pigeon mix</t>
  </si>
  <si>
    <t>Limestone</t>
  </si>
  <si>
    <t>per bale</t>
  </si>
  <si>
    <t>Lucerne Pellet</t>
  </si>
  <si>
    <t>Molafos</t>
  </si>
  <si>
    <t>Mould Inhibitor</t>
  </si>
  <si>
    <t>per bag 25kg</t>
  </si>
  <si>
    <t>Uncleaned Oats</t>
  </si>
  <si>
    <t>Pollard</t>
  </si>
  <si>
    <t>Premuim Layer Premix</t>
  </si>
  <si>
    <t>Preserve</t>
  </si>
  <si>
    <t>4 kg tub</t>
  </si>
  <si>
    <t>Rabbit Pellets</t>
  </si>
  <si>
    <t>Restore</t>
  </si>
  <si>
    <t>15 kg</t>
  </si>
  <si>
    <t>Salt</t>
  </si>
  <si>
    <t>Steamed &amp; Rolled Lupins</t>
  </si>
  <si>
    <t>Steamed &amp; Rolled Maize</t>
  </si>
  <si>
    <t>Stud Balancer</t>
  </si>
  <si>
    <t>Synergy</t>
  </si>
  <si>
    <t>Triaction</t>
  </si>
  <si>
    <t>18 kg</t>
  </si>
  <si>
    <t>Internal Processes</t>
  </si>
  <si>
    <t>Internal Process</t>
  </si>
  <si>
    <t>Pre Mixes</t>
  </si>
  <si>
    <t>Product</t>
  </si>
  <si>
    <t>Total KGs per mix</t>
  </si>
  <si>
    <t>Heyfields Race</t>
  </si>
  <si>
    <t>MIX COSTS</t>
  </si>
  <si>
    <t>Cost Per Kg</t>
  </si>
  <si>
    <t>STRAIGHT GRAIN COSTS</t>
  </si>
  <si>
    <t>Hi Carb Popcorn</t>
  </si>
  <si>
    <t>Changed 02/10/2025</t>
  </si>
  <si>
    <t>Changed 08/10/2025</t>
  </si>
  <si>
    <t>Changed 16/10/2025</t>
  </si>
  <si>
    <t>Changed 30/10/2025</t>
  </si>
  <si>
    <t>Changed 24/03/2026</t>
  </si>
  <si>
    <t>Total Cost</t>
  </si>
  <si>
    <t>Item</t>
  </si>
  <si>
    <t>Quantity Sold</t>
  </si>
  <si>
    <t>Total Sales</t>
  </si>
  <si>
    <t>OC Item ID</t>
  </si>
  <si>
    <t>Gross Margin</t>
  </si>
  <si>
    <t>Total</t>
  </si>
  <si>
    <t>Qty</t>
  </si>
  <si>
    <t>%</t>
  </si>
  <si>
    <t>373022 - Wheat Cleaned &amp; Graded 20 kg Bag</t>
  </si>
  <si>
    <t>373023 - Oats Cleaned &amp; Graded 20 kg Bag</t>
  </si>
  <si>
    <t>380862 - Bedding Straw Small Square Bales</t>
  </si>
  <si>
    <t>380863 - Lucerne Hay Small Square Bales</t>
  </si>
  <si>
    <t>380867 - Breeder Maize 20kg</t>
  </si>
  <si>
    <t>383789 - Whole Barley Cleaned &amp; Graded 20 kg Bag</t>
  </si>
  <si>
    <t>383790 - Maize Clean &amp; Graded 20kg Bag</t>
  </si>
  <si>
    <t>383791 - Popcorn Clean &amp; Graded 20 kg Bag</t>
  </si>
  <si>
    <t>383792 - Peas Clean &amp; Graded 20 kg Bag</t>
  </si>
  <si>
    <t>383793 - Safflower Clean &amp; Graded 15kg Bag</t>
  </si>
  <si>
    <t>383794 - Sorghum Clean &amp; Graded 20 kg Bag</t>
  </si>
  <si>
    <t>383795 - Black Sunflower 20kg</t>
  </si>
  <si>
    <t>383797 - Canola Clean and Graded 20kg</t>
  </si>
  <si>
    <t>383798 - Vetch Clean &amp; Graded 20 kg Bag</t>
  </si>
  <si>
    <t>383800 - White French Millet Cleaned &amp; Graded 20kg</t>
  </si>
  <si>
    <t>383801 - Mung Beans 25kg</t>
  </si>
  <si>
    <t>383803 - Breeder Popcorn 20kg</t>
  </si>
  <si>
    <t>383804 - Budget 20kg</t>
  </si>
  <si>
    <t>383805 - Depurative 20kg</t>
  </si>
  <si>
    <t>383806 - Fancy 20kg</t>
  </si>
  <si>
    <t>383807 - Hicarb 20kg</t>
  </si>
  <si>
    <t>383808 - Moulting  20kg</t>
  </si>
  <si>
    <t>383809 - NPM 20kg</t>
  </si>
  <si>
    <t>383810 - Race Mix 20kg</t>
  </si>
  <si>
    <t>383811 - Race Popcorn 20kg</t>
  </si>
  <si>
    <t>383812 - Sprint 20kg</t>
  </si>
  <si>
    <t>383813 - Trapping 20kg</t>
  </si>
  <si>
    <t>383814 - Wild Bird - Budget 20kg</t>
  </si>
  <si>
    <t>403935 - Custom -</t>
  </si>
  <si>
    <t>403984 - Yellow Maize 25kg</t>
  </si>
  <si>
    <t>403985 - White Maize Cleaned &amp; Graded in Bulka Bag</t>
  </si>
  <si>
    <t>404266 - Specialty Pigeon Breeder 20kg</t>
  </si>
  <si>
    <t>408406 - NPM with Popcorn 20kg</t>
  </si>
  <si>
    <t>441361 - White Maize 25kg</t>
  </si>
  <si>
    <t>458163 - Pea Straw Small Square Bales</t>
  </si>
  <si>
    <t>472760 - Specialty Wildbird Breeder 20kg</t>
  </si>
  <si>
    <t>472761 - Specialty Parrot Breeder 20kg</t>
  </si>
  <si>
    <t>473237 - Wheat Bulka Clean &amp; Graded</t>
  </si>
  <si>
    <t>482693 - Specialty Parrot Breeder Bulka Bag</t>
  </si>
  <si>
    <t>483297 - Specialty Budgie Breeder 20kg</t>
  </si>
  <si>
    <t>483299 - Specialty Luv Bird Breeder 20kg</t>
  </si>
  <si>
    <t>483300 - Specialty Finch Breeder 20kg</t>
  </si>
  <si>
    <t>484378 - Specialty Wildbird Breeder 10kg</t>
  </si>
  <si>
    <t>484380 - Specialty Parrot Breeder 10kg</t>
  </si>
  <si>
    <t>492032 - Specialty Blue Sky Parrot 20kg</t>
  </si>
  <si>
    <t>496354 - Yellow Maize Cleaned &amp; Graded in Bulka Bag</t>
  </si>
  <si>
    <t>497182 - Cracked Maize 20kg</t>
  </si>
  <si>
    <t>501072 - Ian McKay SYDNEY Depurative 20kg</t>
  </si>
  <si>
    <t>501073 - Ian McKay SYDNEY Hicarb 20kg</t>
  </si>
  <si>
    <t>501074 - Hard Wheat 20kg</t>
  </si>
  <si>
    <t>501080 - Ian McKay Fancy Mungbean</t>
  </si>
  <si>
    <t>501775 - Hulled Oats</t>
  </si>
  <si>
    <t>503017 - Organic Yellow Maize Bulka Bag     Cert. SXC 20085</t>
  </si>
  <si>
    <t>503634 - Barley Bulka</t>
  </si>
  <si>
    <t>503636 - Safflower Cleaned &amp; Graded Bulka Bag</t>
  </si>
  <si>
    <t>503637 - Popcorn Cleaned &amp; Graded Bulka Bag</t>
  </si>
  <si>
    <t>503638 - Ian McKay Super Mungbean Mix</t>
  </si>
  <si>
    <t>509150 - Black Sunflowers Cleaned &amp; Graded Bulka Bag</t>
  </si>
  <si>
    <t>514492 - Packing of Bulkas</t>
  </si>
  <si>
    <t>516886 - Mayreef Gold Layer Mix</t>
  </si>
  <si>
    <t>516887 - Cracked Lupins</t>
  </si>
  <si>
    <t>520015 - Whole Lupins</t>
  </si>
  <si>
    <t>540713 - Specialty Pigeon Breeder Bulka Bag</t>
  </si>
  <si>
    <t>540725 - Ian McKay Stock Mix 20kg</t>
  </si>
  <si>
    <t>540814 - Lovebird Mix 8 x 1.5kg Bags</t>
  </si>
  <si>
    <t>540815 - Wildbird Mix 8 x 1.5kg Bags</t>
  </si>
  <si>
    <t>540816 - Budgie Mix 8 x 1.5kg Bags</t>
  </si>
  <si>
    <t>540817 - Parrot Mix 8 x 1.5kg Bags</t>
  </si>
  <si>
    <t>541157 - VDP Pigeon Mix</t>
  </si>
  <si>
    <t>543451 - Pigeon Grit Digestive Aid</t>
  </si>
  <si>
    <t>546517 - Wildbird Mix 20kg</t>
  </si>
  <si>
    <t>546518 - Budgie Mix 20kg</t>
  </si>
  <si>
    <t>546522 - Parrot Mix 20kg</t>
  </si>
  <si>
    <t>546523 - Lovebird Mix 20kg</t>
  </si>
  <si>
    <t>546686 - Grey Sunflower Cleaned &amp; Graded 20kg</t>
  </si>
  <si>
    <t>546687 - Grey Sunflowers Cleaned &amp; Graded Bulka Bag</t>
  </si>
  <si>
    <t>547340 - Crushed Oats</t>
  </si>
  <si>
    <t>547537 - Cracked Barley 20 kg</t>
  </si>
  <si>
    <t>559574 - Cracked Lupins Bulka Bag</t>
  </si>
  <si>
    <t>563503 - VDP IRT Non Oat 20kg</t>
  </si>
  <si>
    <t>564050 - VDP Brown 20kg</t>
  </si>
  <si>
    <t>564057 - VDP Grampians Gold Bulk</t>
  </si>
  <si>
    <t>564061 - VDP Grampians Green Bulk</t>
  </si>
  <si>
    <t>564062 - VDP McEvoy Race 15kg</t>
  </si>
  <si>
    <t>564063 - VDP McEvoy Race Bulk</t>
  </si>
  <si>
    <t>564064 - VDP McEvoy AM 12kg</t>
  </si>
  <si>
    <t>564065 - VDP McEvoy AM Bulk</t>
  </si>
  <si>
    <t>564072 - VDP McGuigan Bulk</t>
  </si>
  <si>
    <t>564073 - VDP Tyler 20kg</t>
  </si>
  <si>
    <t>564079 - VDP PHF Mash 20kg</t>
  </si>
  <si>
    <t>564081 - VDP Spelling 20kg</t>
  </si>
  <si>
    <t>564086 - VDP Aged Care Mix Bulka Bag</t>
  </si>
  <si>
    <t>564087 - VDP EMS Mix 20kg</t>
  </si>
  <si>
    <t>564092 - VDP Cumani Green Bulk</t>
  </si>
  <si>
    <t>564093 - VDP Cumani Gold 20kg</t>
  </si>
  <si>
    <t>564094 - VDP Cumani Gold Bulk</t>
  </si>
  <si>
    <t>564231 - VDP Un Tie 20kg</t>
  </si>
  <si>
    <t>564294 - VDP Race Mix 20kg</t>
  </si>
  <si>
    <t>565667 - SKU 00141: Peckish Free Range Layer Mix 18kg</t>
  </si>
  <si>
    <t>565668 - SKU 00047: Peckish Wild Bird Mix 20kg</t>
  </si>
  <si>
    <t>565669 - SKU 00124: Peckish Performance Layer Mix 18kg</t>
  </si>
  <si>
    <t>565671 - SKU 00332: Peckish Pigeon Mix 20kg</t>
  </si>
  <si>
    <t>566843 - VDP Feek Trial 20kg</t>
  </si>
  <si>
    <t>566844 - VDP Feek Trial w Chaff 20kg</t>
  </si>
  <si>
    <t>568239 - Chook Tucker 20kg</t>
  </si>
  <si>
    <t>568240 - Steam Rolled Barley 20kg</t>
  </si>
  <si>
    <t>575716 - Container Packing - Bags 25kg</t>
  </si>
  <si>
    <t>576968 - VDP Pateman 20kg</t>
  </si>
  <si>
    <t>578050 - VDP McEvoy Pre Train 15kg</t>
  </si>
  <si>
    <t>578051 - VDP McEvoy Pre Train Bulk</t>
  </si>
  <si>
    <t>Benalla - Freight Elmore to Benalla</t>
  </si>
  <si>
    <t>Bendigo - Freight from Elmore to Bendigo charged at per load...</t>
  </si>
  <si>
    <t>Cleaning &amp; Grading - Cleaning and Grading</t>
  </si>
  <si>
    <t>Colac - Freight from Elmore to Colac</t>
  </si>
  <si>
    <t>Container Freight - Container Freight_x000D_
Commodity:_x000D_
Weight:_x000D_
Container No:...</t>
  </si>
  <si>
    <t>Container Freight PORT-Export - Freight - Elmore to Port for export</t>
  </si>
  <si>
    <t>DP World Fees - DP World Fees</t>
  </si>
  <si>
    <t>Freight - General - General Freight</t>
  </si>
  <si>
    <t>Freight MELB - Freight Elmore to Melbourne</t>
  </si>
  <si>
    <t>Freight SYDNEY - Freight Melbourne to Sydney</t>
  </si>
  <si>
    <t>Fumigation - Profume - Fumigation - Profume</t>
  </si>
  <si>
    <t>GPPIR Cert - GPPIR Cert</t>
  </si>
  <si>
    <t>New Bulka Bag - New Bulka Bag</t>
  </si>
  <si>
    <t>Pallet Delivered - Pallet Delivered. Refundable on return.</t>
  </si>
  <si>
    <t>Pallet Return - Pallet Credit. Thank you for returning.</t>
  </si>
  <si>
    <t>Receival  Fee - Receival Fee per ton</t>
  </si>
  <si>
    <t>Sudima - $25 Discount per ton on cleaned grain to offset pu...</t>
  </si>
  <si>
    <t>VBS Slot fee - VBS Slot fee (empty containers)</t>
  </si>
  <si>
    <t>409027 - Oats Bulk Cleaned &amp; Graded</t>
  </si>
  <si>
    <t>541156 - VDP Wildbird Mix</t>
  </si>
  <si>
    <t>564069 - VDP Feek 20kg</t>
  </si>
  <si>
    <t>564128 - VDP Blackiston Filly Bulk</t>
  </si>
  <si>
    <t>Quantity</t>
  </si>
  <si>
    <t>Unit of measure size</t>
  </si>
  <si>
    <t>Unit Cost</t>
  </si>
  <si>
    <t>Final Amount</t>
  </si>
  <si>
    <t>kg</t>
  </si>
  <si>
    <t>bags</t>
  </si>
  <si>
    <t>ton</t>
  </si>
  <si>
    <t>bale</t>
  </si>
  <si>
    <t>lts</t>
  </si>
  <si>
    <t>Cracked Lupins</t>
  </si>
  <si>
    <t>ALEX</t>
  </si>
  <si>
    <t>OLD</t>
  </si>
  <si>
    <t>Whole</t>
  </si>
  <si>
    <t>Dist</t>
  </si>
  <si>
    <t>Status</t>
  </si>
  <si>
    <t>Manual</t>
  </si>
  <si>
    <t>Reviewed</t>
  </si>
  <si>
    <t>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</si>
</sst>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_-;\-* #,##0_-;_-* &quot;-&quot;??_-;_-@_-"/>
    <numFmt numFmtId="167" formatCode="_-&quot;$&quot;* #,##0_-;\-&quot;$&quot;* #,##0_-;_-&quot;$&quot;* &quot;-&quot;??_-;_-@_-"/>
    <numFmt numFmtId="168" formatCode="_-&quot;$&quot;* #,##0.0_-;\-&quot;$&quot;* #,##0.0_-;_-&quot;$&quot;* &quot;-&quot;??_-;_-@_-"/>
    <numFmt numFmtId="169" formatCode="0.0%"/>
    <numFmt numFmtId="170" formatCode="_(&quot;$&quot;* #,##0_);_(&quot;$&quot;* \(#,##0\);_(&quot;$&quot;* &quot;-&quot;??_);_(@_)"/>
    <numFmt numFmtId="171" formatCode="_([$$-409]* #,##0.00_);_([$$-409]* \(#,##0.00\);_([$$-409]* &quot;-&quot;??_);_(@_)"/>
    <numFmt numFmtId="172" formatCode="[$$-809]#,##0.00;\-[$$-809]#,##0.00"/>
    <numFmt numFmtId="173" formatCode="#,##0.0_ ;\-#,##0.0"/>
    <numFmt numFmtId="174" formatCode="_-&quot;$&quot;* #,##0.000_-;\-&quot;$&quot;* #,##0.000_-;_-&quot;$&quot;* &quot;-&quot;??_-;_-@_-"/>
    <numFmt numFmtId="175" formatCode="&quot;$&quot;#,##0.00;[Red]&quot;$&quot;#,##0.00"/>
  </numFmts>
  <fonts count="39" x14ac:knownFonts="1">
    <font>
      <sz val="11"/>
      <color theme="1"/>
      <name val="Aptos Narrow"/>
      <family val="2"/>
      <scheme val="minor"/>
    </font>
    <font>
      <sz val="11"/>
      <color theme="1"/>
      <name val="Aptos Narrow"/>
      <family val="2"/>
      <scheme val="minor"/>
    </font>
    <font>
      <sz val="11"/>
      <color theme="1"/>
      <name val="Lato Light"/>
      <family val="2"/>
    </font>
    <font>
      <b/>
      <sz val="11"/>
      <color theme="1"/>
      <name val="Lato Light"/>
      <family val="2"/>
    </font>
    <font>
      <sz val="11"/>
      <name val="Lato Light"/>
      <family val="2"/>
    </font>
    <font>
      <sz val="11"/>
      <color rgb="FFFF0000"/>
      <name val="Lato Light"/>
      <family val="2"/>
    </font>
    <font>
      <b/>
      <sz val="11"/>
      <name val="Lato Light"/>
      <family val="2"/>
    </font>
    <font>
      <sz val="9"/>
      <color indexed="81"/>
      <name val="Tahoma"/>
      <family val="2"/>
    </font>
    <font>
      <b/>
      <sz val="9"/>
      <color indexed="81"/>
      <name val="Tahoma"/>
      <family val="2"/>
    </font>
    <font>
      <sz val="11"/>
      <color rgb="FF00B050"/>
      <name val="Lato Light"/>
      <family val="2"/>
    </font>
    <font>
      <sz val="11"/>
      <color rgb="FFEE0000"/>
      <name val="Lato Light"/>
      <family val="2"/>
    </font>
    <font>
      <sz val="11"/>
      <color theme="5"/>
      <name val="Lato Light"/>
      <family val="2"/>
    </font>
    <font>
      <b/>
      <sz val="11"/>
      <color theme="5"/>
      <name val="Lato Light"/>
      <family val="2"/>
    </font>
    <font>
      <b/>
      <sz val="11"/>
      <color rgb="FF00B0F0"/>
      <name val="Lato Light"/>
      <family val="2"/>
    </font>
    <font>
      <sz val="18"/>
      <color theme="0"/>
      <name val="Lato Light"/>
      <family val="2"/>
    </font>
    <font>
      <sz val="10"/>
      <color rgb="FF000000"/>
      <name val="Tahoma"/>
      <family val="2"/>
    </font>
    <font>
      <b/>
      <sz val="10"/>
      <color rgb="FF000000"/>
      <name val="Tahoma"/>
      <family val="2"/>
    </font>
    <font>
      <sz val="11"/>
      <name val="Aptos Narrow"/>
      <family val="2"/>
      <scheme val="minor"/>
    </font>
    <font>
      <sz val="11"/>
      <color rgb="FF000000"/>
      <name val="Aptos Narrow"/>
      <family val="2"/>
    </font>
    <font>
      <sz val="11"/>
      <color rgb="FF00B050"/>
      <name val="Aptos Narrow"/>
      <family val="2"/>
    </font>
    <font>
      <sz val="11"/>
      <color rgb="FFFF0000"/>
      <name val="Aptos Narrow"/>
      <family val="2"/>
      <scheme val="minor"/>
    </font>
    <font>
      <sz val="12"/>
      <color theme="1"/>
      <name val="Lato Light"/>
      <family val="2"/>
    </font>
    <font>
      <sz val="12"/>
      <color rgb="FFFF0000"/>
      <name val="Lato Light"/>
      <family val="2"/>
    </font>
    <font>
      <b/>
      <sz val="12"/>
      <color theme="1"/>
      <name val="Lato Light"/>
      <family val="2"/>
    </font>
    <font>
      <sz val="14"/>
      <color theme="1"/>
      <name val="Lato Light"/>
      <family val="2"/>
    </font>
    <font>
      <sz val="14"/>
      <color theme="1"/>
      <name val="Aptos Narrow"/>
      <family val="2"/>
      <scheme val="minor"/>
    </font>
    <font>
      <b/>
      <sz val="14"/>
      <color theme="1"/>
      <name val="Lato Light"/>
      <family val="2"/>
    </font>
    <font>
      <sz val="9"/>
      <name val="Lato Light"/>
      <family val="2"/>
    </font>
    <font>
      <b/>
      <sz val="9"/>
      <name val="Lato Light"/>
      <family val="2"/>
    </font>
    <font>
      <sz val="9"/>
      <color theme="1"/>
      <name val="Lato Light"/>
      <family val="2"/>
    </font>
    <font>
      <b/>
      <sz val="9"/>
      <color theme="1"/>
      <name val="Lato Light"/>
      <family val="2"/>
    </font>
    <font>
      <b/>
      <sz val="10"/>
      <name val="Lato Light"/>
      <family val="2"/>
    </font>
    <font>
      <sz val="9"/>
      <color rgb="FFFF0000"/>
      <name val="Lato Light"/>
      <family val="2"/>
    </font>
    <font>
      <b/>
      <sz val="9"/>
      <color theme="5"/>
      <name val="Lato Light"/>
      <family val="2"/>
    </font>
    <font>
      <sz val="8"/>
      <name val="Aptos Narrow"/>
      <family val="2"/>
      <scheme val="minor"/>
    </font>
    <font>
      <sz val="11"/>
      <color rgb="FF006100"/>
      <name val="Aptos Narrow"/>
      <family val="2"/>
      <scheme val="minor"/>
    </font>
    <font>
      <sz val="18"/>
      <name val="Lato Light"/>
      <family val="2"/>
    </font>
    <font>
      <b/>
      <sz val="9"/>
      <color rgb="FF00B050"/>
      <name val="Lato Light"/>
      <family val="2"/>
    </font>
    <font>
      <sz val="9"/>
      <name val="Arial"/>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bgColor indexed="64"/>
      </patternFill>
    </fill>
    <fill>
      <patternFill patternType="solid">
        <fgColor rgb="FF00B0F0"/>
        <bgColor indexed="64"/>
      </patternFill>
    </fill>
    <fill>
      <patternFill patternType="solid">
        <fgColor theme="9" tint="0.79998168889431442"/>
        <bgColor indexed="64"/>
      </patternFill>
    </fill>
    <fill>
      <patternFill patternType="solid">
        <fgColor rgb="FFC6EFCE"/>
      </patternFill>
    </fill>
  </fills>
  <borders count="4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right/>
      <top style="hair">
        <color indexed="64"/>
      </top>
      <bottom style="hair">
        <color indexed="64"/>
      </bottom>
      <diagonal/>
    </border>
    <border>
      <left style="medium">
        <color theme="5"/>
      </left>
      <right style="hair">
        <color indexed="64"/>
      </right>
      <top style="medium">
        <color theme="5"/>
      </top>
      <bottom style="hair">
        <color indexed="64"/>
      </bottom>
      <diagonal/>
    </border>
    <border>
      <left style="hair">
        <color indexed="64"/>
      </left>
      <right style="hair">
        <color indexed="64"/>
      </right>
      <top style="medium">
        <color theme="5"/>
      </top>
      <bottom style="hair">
        <color indexed="64"/>
      </bottom>
      <diagonal/>
    </border>
    <border>
      <left style="hair">
        <color indexed="64"/>
      </left>
      <right style="medium">
        <color theme="5"/>
      </right>
      <top style="medium">
        <color theme="5"/>
      </top>
      <bottom style="hair">
        <color indexed="64"/>
      </bottom>
      <diagonal/>
    </border>
    <border>
      <left style="medium">
        <color theme="5"/>
      </left>
      <right style="hair">
        <color indexed="64"/>
      </right>
      <top style="hair">
        <color indexed="64"/>
      </top>
      <bottom/>
      <diagonal/>
    </border>
    <border>
      <left style="hair">
        <color indexed="64"/>
      </left>
      <right style="medium">
        <color theme="5"/>
      </right>
      <top style="hair">
        <color indexed="64"/>
      </top>
      <bottom/>
      <diagonal/>
    </border>
    <border>
      <left style="medium">
        <color theme="5"/>
      </left>
      <right style="hair">
        <color indexed="64"/>
      </right>
      <top style="hair">
        <color indexed="64"/>
      </top>
      <bottom style="hair">
        <color indexed="64"/>
      </bottom>
      <diagonal/>
    </border>
    <border>
      <left style="hair">
        <color indexed="64"/>
      </left>
      <right style="medium">
        <color theme="5"/>
      </right>
      <top style="hair">
        <color indexed="64"/>
      </top>
      <bottom style="hair">
        <color indexed="64"/>
      </bottom>
      <diagonal/>
    </border>
    <border>
      <left style="medium">
        <color theme="5"/>
      </left>
      <right style="hair">
        <color indexed="64"/>
      </right>
      <top style="hair">
        <color indexed="64"/>
      </top>
      <bottom style="medium">
        <color theme="5"/>
      </bottom>
      <diagonal/>
    </border>
    <border>
      <left style="hair">
        <color indexed="64"/>
      </left>
      <right style="hair">
        <color indexed="64"/>
      </right>
      <top style="hair">
        <color indexed="64"/>
      </top>
      <bottom style="medium">
        <color theme="5"/>
      </bottom>
      <diagonal/>
    </border>
    <border>
      <left style="hair">
        <color indexed="64"/>
      </left>
      <right style="medium">
        <color theme="5"/>
      </right>
      <top style="hair">
        <color indexed="64"/>
      </top>
      <bottom style="medium">
        <color theme="5"/>
      </bottom>
      <diagonal/>
    </border>
    <border>
      <left style="medium">
        <color theme="5"/>
      </left>
      <right/>
      <top style="medium">
        <color theme="5"/>
      </top>
      <bottom style="hair">
        <color indexed="64"/>
      </bottom>
      <diagonal/>
    </border>
    <border>
      <left/>
      <right/>
      <top style="medium">
        <color theme="5"/>
      </top>
      <bottom style="hair">
        <color indexed="64"/>
      </bottom>
      <diagonal/>
    </border>
    <border>
      <left/>
      <right style="medium">
        <color theme="5"/>
      </right>
      <top style="medium">
        <color theme="5"/>
      </top>
      <bottom style="hair">
        <color indexed="64"/>
      </bottom>
      <diagonal/>
    </border>
    <border>
      <left style="medium">
        <color rgb="FF00B0F0"/>
      </left>
      <right style="hair">
        <color indexed="64"/>
      </right>
      <top style="medium">
        <color rgb="FF00B0F0"/>
      </top>
      <bottom style="hair">
        <color indexed="64"/>
      </bottom>
      <diagonal/>
    </border>
    <border>
      <left style="hair">
        <color indexed="64"/>
      </left>
      <right style="medium">
        <color rgb="FF00B0F0"/>
      </right>
      <top style="medium">
        <color rgb="FF00B0F0"/>
      </top>
      <bottom style="hair">
        <color indexed="64"/>
      </bottom>
      <diagonal/>
    </border>
    <border>
      <left style="medium">
        <color rgb="FF00B0F0"/>
      </left>
      <right style="hair">
        <color indexed="64"/>
      </right>
      <top style="hair">
        <color indexed="64"/>
      </top>
      <bottom style="hair">
        <color indexed="64"/>
      </bottom>
      <diagonal/>
    </border>
    <border>
      <left style="hair">
        <color indexed="64"/>
      </left>
      <right style="medium">
        <color rgb="FF00B0F0"/>
      </right>
      <top style="hair">
        <color indexed="64"/>
      </top>
      <bottom style="hair">
        <color indexed="64"/>
      </bottom>
      <diagonal/>
    </border>
    <border>
      <left style="medium">
        <color rgb="FF00B0F0"/>
      </left>
      <right style="hair">
        <color indexed="64"/>
      </right>
      <top style="hair">
        <color indexed="64"/>
      </top>
      <bottom style="medium">
        <color rgb="FF00B0F0"/>
      </bottom>
      <diagonal/>
    </border>
    <border>
      <left style="hair">
        <color indexed="64"/>
      </left>
      <right style="medium">
        <color rgb="FF00B0F0"/>
      </right>
      <top style="hair">
        <color indexed="64"/>
      </top>
      <bottom style="medium">
        <color rgb="FF00B0F0"/>
      </bottom>
      <diagonal/>
    </border>
    <border>
      <left/>
      <right/>
      <top style="hair">
        <color indexed="64"/>
      </top>
      <bottom/>
      <diagonal/>
    </border>
    <border>
      <left style="hair">
        <color indexed="64"/>
      </left>
      <right style="hair">
        <color indexed="64"/>
      </right>
      <top style="medium">
        <color rgb="FF00B0F0"/>
      </top>
      <bottom style="hair">
        <color indexed="64"/>
      </bottom>
      <diagonal/>
    </border>
    <border>
      <left style="hair">
        <color indexed="64"/>
      </left>
      <right style="hair">
        <color indexed="64"/>
      </right>
      <top style="hair">
        <color indexed="64"/>
      </top>
      <bottom style="medium">
        <color rgb="FF00B0F0"/>
      </bottom>
      <diagonal/>
    </border>
    <border>
      <left style="medium">
        <color theme="5"/>
      </left>
      <right style="medium">
        <color theme="5"/>
      </right>
      <top style="medium">
        <color theme="5"/>
      </top>
      <bottom style="hair">
        <color indexed="64"/>
      </bottom>
      <diagonal/>
    </border>
    <border>
      <left style="medium">
        <color theme="5"/>
      </left>
      <right style="medium">
        <color theme="5"/>
      </right>
      <top style="hair">
        <color indexed="64"/>
      </top>
      <bottom style="medium">
        <color theme="5"/>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medium">
        <color theme="5"/>
      </left>
      <right style="hair">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8">
    <xf numFmtId="0" fontId="0"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9" borderId="0" applyNumberFormat="0" applyBorder="0" applyAlignment="0" applyProtection="0"/>
  </cellStyleXfs>
  <cellXfs count="328">
    <xf numFmtId="0" fontId="0" fillId="0" borderId="0" xfId="0"/>
    <xf numFmtId="0" fontId="2" fillId="2" borderId="0" xfId="0" applyFont="1" applyFill="1"/>
    <xf numFmtId="10" fontId="2" fillId="2" borderId="0" xfId="0" applyNumberFormat="1" applyFont="1" applyFill="1"/>
    <xf numFmtId="9" fontId="2" fillId="2" borderId="0" xfId="0" applyNumberFormat="1" applyFont="1" applyFill="1"/>
    <xf numFmtId="44" fontId="2" fillId="2" borderId="0" xfId="1" applyFont="1" applyFill="1"/>
    <xf numFmtId="0" fontId="3" fillId="2" borderId="0" xfId="0" applyFont="1" applyFill="1" applyAlignment="1">
      <alignment horizontal="center" vertical="center"/>
    </xf>
    <xf numFmtId="0" fontId="2" fillId="2" borderId="0" xfId="0" applyFont="1" applyFill="1" applyAlignment="1">
      <alignment horizontal="center"/>
    </xf>
    <xf numFmtId="0" fontId="5" fillId="2" borderId="0" xfId="0" applyFont="1" applyFill="1"/>
    <xf numFmtId="44" fontId="5" fillId="2" borderId="0" xfId="1" applyFont="1" applyFill="1"/>
    <xf numFmtId="0" fontId="5" fillId="2" borderId="0" xfId="0" applyFont="1" applyFill="1" applyAlignment="1">
      <alignment horizontal="center"/>
    </xf>
    <xf numFmtId="44" fontId="2" fillId="2" borderId="0" xfId="0" applyNumberFormat="1" applyFont="1" applyFill="1"/>
    <xf numFmtId="0" fontId="2" fillId="2" borderId="0" xfId="0" applyFont="1" applyFill="1" applyAlignment="1">
      <alignment horizontal="left"/>
    </xf>
    <xf numFmtId="0" fontId="2" fillId="2" borderId="1" xfId="0" applyFont="1" applyFill="1" applyBorder="1" applyAlignment="1">
      <alignment horizontal="center"/>
    </xf>
    <xf numFmtId="0" fontId="2" fillId="4" borderId="1" xfId="0" applyFont="1" applyFill="1" applyBorder="1" applyAlignment="1">
      <alignment horizontal="center"/>
    </xf>
    <xf numFmtId="166" fontId="2" fillId="2" borderId="0" xfId="4" applyNumberFormat="1" applyFont="1" applyFill="1"/>
    <xf numFmtId="0" fontId="6" fillId="2" borderId="1" xfId="0" applyFont="1" applyFill="1" applyBorder="1" applyAlignment="1">
      <alignment horizontal="center" vertical="center"/>
    </xf>
    <xf numFmtId="166" fontId="6" fillId="2" borderId="1" xfId="4" applyNumberFormat="1" applyFont="1" applyFill="1" applyBorder="1" applyAlignment="1">
      <alignment horizontal="center" textRotation="90"/>
    </xf>
    <xf numFmtId="0" fontId="2" fillId="2" borderId="1" xfId="0" applyFont="1" applyFill="1" applyBorder="1"/>
    <xf numFmtId="167" fontId="2" fillId="2" borderId="1" xfId="1" applyNumberFormat="1" applyFont="1" applyFill="1" applyBorder="1"/>
    <xf numFmtId="44" fontId="2" fillId="2" borderId="1" xfId="1" applyFont="1" applyFill="1" applyBorder="1"/>
    <xf numFmtId="167" fontId="2" fillId="2" borderId="1" xfId="1" applyNumberFormat="1" applyFont="1" applyFill="1" applyBorder="1" applyAlignment="1">
      <alignment horizontal="center"/>
    </xf>
    <xf numFmtId="0" fontId="6" fillId="2" borderId="1" xfId="0" applyFont="1" applyFill="1" applyBorder="1" applyAlignment="1">
      <alignment horizontal="center" textRotation="90"/>
    </xf>
    <xf numFmtId="0" fontId="6" fillId="2" borderId="6" xfId="0" applyFont="1" applyFill="1" applyBorder="1" applyAlignment="1">
      <alignment horizontal="center" vertical="center"/>
    </xf>
    <xf numFmtId="44" fontId="2" fillId="2" borderId="1" xfId="0" applyNumberFormat="1" applyFont="1" applyFill="1" applyBorder="1"/>
    <xf numFmtId="44" fontId="2" fillId="2" borderId="0" xfId="1" applyFont="1" applyFill="1" applyBorder="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9" fontId="5" fillId="2" borderId="0" xfId="3" applyFont="1" applyFill="1" applyAlignment="1">
      <alignment horizontal="center"/>
    </xf>
    <xf numFmtId="44" fontId="5" fillId="2" borderId="0" xfId="0" applyNumberFormat="1" applyFont="1" applyFill="1"/>
    <xf numFmtId="9" fontId="2" fillId="2" borderId="0" xfId="3" applyFont="1" applyFill="1" applyBorder="1" applyAlignment="1">
      <alignment horizontal="center"/>
    </xf>
    <xf numFmtId="9" fontId="2" fillId="2" borderId="1" xfId="3" applyFont="1" applyFill="1" applyBorder="1" applyAlignment="1">
      <alignment horizontal="center"/>
    </xf>
    <xf numFmtId="0" fontId="2" fillId="4" borderId="2" xfId="0" applyFont="1" applyFill="1" applyBorder="1" applyAlignment="1">
      <alignment horizontal="center"/>
    </xf>
    <xf numFmtId="0" fontId="6" fillId="2" borderId="7" xfId="0" applyFont="1" applyFill="1" applyBorder="1" applyAlignment="1">
      <alignment horizontal="center" vertical="center"/>
    </xf>
    <xf numFmtId="0" fontId="4" fillId="2" borderId="7" xfId="0" applyFont="1" applyFill="1" applyBorder="1" applyAlignment="1">
      <alignment horizontal="center" textRotation="90"/>
    </xf>
    <xf numFmtId="166" fontId="6" fillId="2" borderId="8" xfId="4" applyNumberFormat="1" applyFont="1" applyFill="1" applyBorder="1" applyAlignment="1">
      <alignment horizontal="center" textRotation="90"/>
    </xf>
    <xf numFmtId="0" fontId="2" fillId="4" borderId="5" xfId="0" applyFont="1" applyFill="1" applyBorder="1" applyAlignment="1">
      <alignment vertical="center"/>
    </xf>
    <xf numFmtId="166" fontId="2" fillId="4" borderId="3" xfId="4" applyNumberFormat="1" applyFont="1" applyFill="1" applyBorder="1" applyAlignment="1">
      <alignment horizontal="center"/>
    </xf>
    <xf numFmtId="0" fontId="2" fillId="2" borderId="0" xfId="0" applyFont="1" applyFill="1" applyAlignment="1">
      <alignment vertical="center"/>
    </xf>
    <xf numFmtId="166" fontId="2" fillId="2" borderId="0" xfId="4" applyNumberFormat="1" applyFont="1" applyFill="1" applyBorder="1" applyAlignment="1">
      <alignment horizontal="center"/>
    </xf>
    <xf numFmtId="0" fontId="2" fillId="4" borderId="1" xfId="0" applyFont="1" applyFill="1" applyBorder="1"/>
    <xf numFmtId="0" fontId="2" fillId="4" borderId="2" xfId="0" applyFont="1" applyFill="1" applyBorder="1"/>
    <xf numFmtId="44" fontId="2" fillId="4" borderId="1" xfId="1" applyFont="1" applyFill="1" applyBorder="1"/>
    <xf numFmtId="9" fontId="2" fillId="4" borderId="1" xfId="3" applyFont="1" applyFill="1" applyBorder="1" applyAlignment="1">
      <alignment horizontal="center"/>
    </xf>
    <xf numFmtId="44" fontId="2" fillId="4" borderId="1" xfId="0" applyNumberFormat="1" applyFont="1" applyFill="1" applyBorder="1"/>
    <xf numFmtId="0" fontId="9" fillId="2" borderId="0" xfId="0" applyFont="1" applyFill="1"/>
    <xf numFmtId="0" fontId="4" fillId="4" borderId="1" xfId="0" applyFont="1" applyFill="1" applyBorder="1" applyAlignment="1">
      <alignment horizontal="center"/>
    </xf>
    <xf numFmtId="167" fontId="2" fillId="2" borderId="0" xfId="0" applyNumberFormat="1" applyFont="1" applyFill="1"/>
    <xf numFmtId="0" fontId="9" fillId="2" borderId="0" xfId="0" applyFont="1" applyFill="1" applyAlignment="1">
      <alignment horizontal="center"/>
    </xf>
    <xf numFmtId="44" fontId="10" fillId="4" borderId="1" xfId="1" applyFont="1" applyFill="1" applyBorder="1"/>
    <xf numFmtId="0" fontId="2" fillId="4" borderId="3" xfId="0" applyFont="1" applyFill="1" applyBorder="1" applyAlignment="1">
      <alignment horizontal="center"/>
    </xf>
    <xf numFmtId="44" fontId="4" fillId="4" borderId="1" xfId="1" applyFont="1" applyFill="1" applyBorder="1"/>
    <xf numFmtId="0" fontId="10" fillId="4" borderId="1" xfId="0" applyFont="1" applyFill="1" applyBorder="1" applyAlignment="1">
      <alignment horizontal="left"/>
    </xf>
    <xf numFmtId="0" fontId="4" fillId="2" borderId="1" xfId="0" applyFont="1" applyFill="1" applyBorder="1"/>
    <xf numFmtId="44" fontId="4" fillId="2" borderId="1" xfId="1" applyFont="1" applyFill="1" applyBorder="1"/>
    <xf numFmtId="0" fontId="4" fillId="2" borderId="8" xfId="0" applyFont="1" applyFill="1" applyBorder="1" applyAlignment="1">
      <alignment horizontal="center" textRotation="90"/>
    </xf>
    <xf numFmtId="0" fontId="4" fillId="4" borderId="1" xfId="0" applyFont="1" applyFill="1" applyBorder="1" applyAlignment="1">
      <alignment horizontal="left"/>
    </xf>
    <xf numFmtId="0" fontId="4" fillId="4" borderId="5" xfId="0" applyFont="1" applyFill="1" applyBorder="1" applyAlignment="1">
      <alignment vertical="center"/>
    </xf>
    <xf numFmtId="0" fontId="4" fillId="4" borderId="3" xfId="0" applyFont="1" applyFill="1" applyBorder="1" applyAlignment="1">
      <alignment horizontal="center"/>
    </xf>
    <xf numFmtId="166" fontId="4" fillId="4" borderId="3" xfId="4" applyNumberFormat="1" applyFont="1" applyFill="1" applyBorder="1" applyAlignment="1">
      <alignment horizontal="center"/>
    </xf>
    <xf numFmtId="0" fontId="4" fillId="2" borderId="0" xfId="0" applyFont="1" applyFill="1"/>
    <xf numFmtId="0" fontId="2" fillId="3" borderId="0" xfId="0" applyFont="1" applyFill="1"/>
    <xf numFmtId="44" fontId="2" fillId="2" borderId="1" xfId="1" applyFont="1" applyFill="1" applyBorder="1" applyAlignment="1">
      <alignment horizontal="center"/>
    </xf>
    <xf numFmtId="167" fontId="9" fillId="2" borderId="1" xfId="1" applyNumberFormat="1" applyFont="1" applyFill="1" applyBorder="1" applyAlignment="1">
      <alignment horizontal="center"/>
    </xf>
    <xf numFmtId="44" fontId="4" fillId="3" borderId="1" xfId="1" applyFont="1" applyFill="1" applyBorder="1"/>
    <xf numFmtId="0" fontId="11" fillId="2" borderId="0" xfId="0" applyFont="1" applyFill="1"/>
    <xf numFmtId="0" fontId="9" fillId="3" borderId="0" xfId="0" applyFont="1" applyFill="1"/>
    <xf numFmtId="10" fontId="2" fillId="3" borderId="0" xfId="0" applyNumberFormat="1" applyFont="1" applyFill="1"/>
    <xf numFmtId="2" fontId="2" fillId="2" borderId="0" xfId="0" applyNumberFormat="1" applyFont="1" applyFill="1"/>
    <xf numFmtId="2" fontId="2" fillId="3" borderId="0" xfId="0" applyNumberFormat="1" applyFont="1" applyFill="1"/>
    <xf numFmtId="165" fontId="2" fillId="2" borderId="0" xfId="0" applyNumberFormat="1" applyFont="1" applyFill="1"/>
    <xf numFmtId="170" fontId="2" fillId="2" borderId="0" xfId="0" applyNumberFormat="1" applyFont="1" applyFill="1"/>
    <xf numFmtId="170" fontId="5" fillId="2" borderId="0" xfId="0" applyNumberFormat="1" applyFont="1" applyFill="1"/>
    <xf numFmtId="0" fontId="0" fillId="2" borderId="0" xfId="0" applyFill="1"/>
    <xf numFmtId="44" fontId="2" fillId="2" borderId="16" xfId="1" applyFont="1" applyFill="1" applyBorder="1"/>
    <xf numFmtId="44" fontId="2" fillId="2" borderId="17" xfId="1" applyFont="1" applyFill="1" applyBorder="1"/>
    <xf numFmtId="44" fontId="4" fillId="2" borderId="17" xfId="1" applyFont="1" applyFill="1" applyBorder="1"/>
    <xf numFmtId="44" fontId="2" fillId="2" borderId="19" xfId="1" applyFont="1" applyFill="1" applyBorder="1"/>
    <xf numFmtId="44" fontId="2" fillId="2" borderId="19" xfId="0" applyNumberFormat="1" applyFont="1" applyFill="1" applyBorder="1"/>
    <xf numFmtId="44" fontId="4" fillId="2" borderId="20" xfId="1" applyFont="1" applyFill="1" applyBorder="1"/>
    <xf numFmtId="0" fontId="12" fillId="2" borderId="11" xfId="0" applyFont="1" applyFill="1" applyBorder="1" applyAlignment="1">
      <alignment horizontal="center" vertical="center"/>
    </xf>
    <xf numFmtId="0" fontId="12" fillId="2" borderId="13" xfId="0" applyFont="1" applyFill="1" applyBorder="1" applyAlignment="1">
      <alignment horizontal="center"/>
    </xf>
    <xf numFmtId="0" fontId="2" fillId="2" borderId="16" xfId="0" applyFont="1" applyFill="1" applyBorder="1"/>
    <xf numFmtId="0" fontId="2" fillId="2" borderId="18" xfId="0" applyFont="1" applyFill="1" applyBorder="1"/>
    <xf numFmtId="0" fontId="4" fillId="2" borderId="16" xfId="0" applyFont="1" applyFill="1" applyBorder="1"/>
    <xf numFmtId="0" fontId="2" fillId="2" borderId="26" xfId="0" applyFont="1" applyFill="1" applyBorder="1"/>
    <xf numFmtId="0" fontId="2" fillId="2" borderId="28" xfId="0" applyFont="1" applyFill="1" applyBorder="1"/>
    <xf numFmtId="0" fontId="13" fillId="2" borderId="24" xfId="0" applyFont="1" applyFill="1" applyBorder="1" applyAlignment="1">
      <alignment horizontal="center"/>
    </xf>
    <xf numFmtId="0" fontId="13" fillId="2" borderId="25" xfId="0" applyFont="1" applyFill="1" applyBorder="1" applyAlignment="1">
      <alignment horizontal="center"/>
    </xf>
    <xf numFmtId="169" fontId="2" fillId="4" borderId="1" xfId="0" applyNumberFormat="1" applyFont="1" applyFill="1" applyBorder="1" applyAlignment="1">
      <alignment horizontal="center"/>
    </xf>
    <xf numFmtId="0" fontId="13" fillId="2" borderId="31" xfId="0" applyFont="1" applyFill="1" applyBorder="1" applyAlignment="1">
      <alignment horizontal="center"/>
    </xf>
    <xf numFmtId="44" fontId="2" fillId="4" borderId="2" xfId="1" applyFont="1" applyFill="1" applyBorder="1"/>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169" fontId="4" fillId="4" borderId="1" xfId="0" applyNumberFormat="1" applyFont="1" applyFill="1" applyBorder="1" applyAlignment="1">
      <alignment horizontal="center"/>
    </xf>
    <xf numFmtId="169" fontId="2" fillId="4" borderId="3" xfId="0" applyNumberFormat="1" applyFont="1" applyFill="1" applyBorder="1" applyAlignment="1">
      <alignment horizontal="center"/>
    </xf>
    <xf numFmtId="169" fontId="4" fillId="4" borderId="3" xfId="0" applyNumberFormat="1" applyFont="1" applyFill="1" applyBorder="1" applyAlignment="1">
      <alignment horizontal="center"/>
    </xf>
    <xf numFmtId="44" fontId="2" fillId="2" borderId="26" xfId="1" applyFont="1" applyFill="1" applyBorder="1" applyAlignment="1">
      <alignment horizontal="center"/>
    </xf>
    <xf numFmtId="0" fontId="2" fillId="2" borderId="26" xfId="0" applyFont="1" applyFill="1" applyBorder="1" applyAlignment="1">
      <alignment horizontal="center"/>
    </xf>
    <xf numFmtId="0" fontId="4" fillId="2" borderId="18" xfId="0" applyFont="1" applyFill="1" applyBorder="1"/>
    <xf numFmtId="44" fontId="4" fillId="2" borderId="19" xfId="1" applyFont="1" applyFill="1" applyBorder="1"/>
    <xf numFmtId="44" fontId="12" fillId="2" borderId="12" xfId="1" applyFont="1" applyFill="1" applyBorder="1" applyAlignment="1">
      <alignment horizontal="center" vertical="center" wrapText="1"/>
    </xf>
    <xf numFmtId="44" fontId="2" fillId="4" borderId="17" xfId="1" applyFont="1" applyFill="1" applyBorder="1"/>
    <xf numFmtId="44" fontId="2" fillId="4" borderId="20" xfId="1" applyFont="1" applyFill="1" applyBorder="1"/>
    <xf numFmtId="44" fontId="2" fillId="3" borderId="20" xfId="1" applyFont="1" applyFill="1" applyBorder="1"/>
    <xf numFmtId="0" fontId="12" fillId="2" borderId="11" xfId="0" applyFont="1" applyFill="1" applyBorder="1" applyAlignment="1">
      <alignment horizontal="center" vertical="center" wrapText="1"/>
    </xf>
    <xf numFmtId="44" fontId="12" fillId="2" borderId="13" xfId="1" applyFont="1" applyFill="1" applyBorder="1" applyAlignment="1">
      <alignment horizontal="center" vertical="center" wrapText="1"/>
    </xf>
    <xf numFmtId="0" fontId="2" fillId="2" borderId="14" xfId="0" applyFont="1" applyFill="1" applyBorder="1"/>
    <xf numFmtId="44" fontId="2" fillId="2" borderId="2" xfId="1" applyFont="1" applyFill="1" applyBorder="1"/>
    <xf numFmtId="44" fontId="2" fillId="2" borderId="15" xfId="1" applyFont="1" applyFill="1" applyBorder="1"/>
    <xf numFmtId="44" fontId="2" fillId="2" borderId="20" xfId="1" applyFont="1" applyFill="1" applyBorder="1"/>
    <xf numFmtId="0" fontId="2" fillId="2" borderId="0" xfId="0" applyFont="1" applyFill="1" applyAlignment="1">
      <alignment horizontal="center" vertical="center"/>
    </xf>
    <xf numFmtId="44" fontId="2" fillId="2" borderId="0" xfId="1" applyFont="1" applyFill="1" applyAlignment="1">
      <alignment vertical="center"/>
    </xf>
    <xf numFmtId="44" fontId="2" fillId="4" borderId="19" xfId="1" applyFont="1" applyFill="1" applyBorder="1"/>
    <xf numFmtId="169" fontId="4" fillId="4" borderId="27" xfId="0" applyNumberFormat="1" applyFont="1" applyFill="1" applyBorder="1" applyAlignment="1">
      <alignment horizontal="center"/>
    </xf>
    <xf numFmtId="44" fontId="2" fillId="2" borderId="27" xfId="1" applyFont="1" applyFill="1" applyBorder="1" applyAlignment="1">
      <alignment horizontal="center"/>
    </xf>
    <xf numFmtId="169" fontId="2" fillId="4" borderId="10" xfId="0" applyNumberFormat="1" applyFont="1" applyFill="1" applyBorder="1" applyAlignment="1">
      <alignment horizontal="center"/>
    </xf>
    <xf numFmtId="0" fontId="12" fillId="2" borderId="33" xfId="0" applyFont="1" applyFill="1" applyBorder="1" applyAlignment="1">
      <alignment horizontal="center"/>
    </xf>
    <xf numFmtId="169" fontId="2" fillId="4" borderId="34" xfId="3" applyNumberFormat="1" applyFont="1" applyFill="1" applyBorder="1" applyAlignment="1">
      <alignment horizontal="center"/>
    </xf>
    <xf numFmtId="0" fontId="4" fillId="3" borderId="1" xfId="0" applyFont="1" applyFill="1" applyBorder="1" applyAlignment="1">
      <alignment horizontal="left"/>
    </xf>
    <xf numFmtId="0" fontId="2" fillId="2" borderId="0" xfId="0" applyFont="1" applyFill="1" applyAlignment="1">
      <alignment wrapText="1"/>
    </xf>
    <xf numFmtId="0" fontId="4" fillId="5" borderId="1" xfId="0" applyFont="1" applyFill="1" applyBorder="1" applyAlignment="1">
      <alignment horizontal="center"/>
    </xf>
    <xf numFmtId="2" fontId="5" fillId="2" borderId="0" xfId="0" applyNumberFormat="1" applyFont="1" applyFill="1"/>
    <xf numFmtId="10" fontId="5" fillId="2" borderId="0" xfId="0" applyNumberFormat="1" applyFont="1" applyFill="1"/>
    <xf numFmtId="169" fontId="4" fillId="4" borderId="10" xfId="0" applyNumberFormat="1" applyFont="1" applyFill="1" applyBorder="1" applyAlignment="1">
      <alignment horizontal="center"/>
    </xf>
    <xf numFmtId="44" fontId="4" fillId="2" borderId="16" xfId="1" applyFont="1" applyFill="1" applyBorder="1"/>
    <xf numFmtId="44" fontId="4" fillId="2" borderId="1" xfId="0" applyNumberFormat="1" applyFont="1" applyFill="1" applyBorder="1"/>
    <xf numFmtId="0" fontId="4" fillId="2" borderId="26" xfId="0" applyFont="1" applyFill="1" applyBorder="1" applyAlignment="1">
      <alignment horizontal="center"/>
    </xf>
    <xf numFmtId="0" fontId="17" fillId="2" borderId="0" xfId="0" applyFont="1" applyFill="1"/>
    <xf numFmtId="0" fontId="5" fillId="3" borderId="0" xfId="0" applyFont="1" applyFill="1" applyAlignment="1">
      <alignment horizontal="center"/>
    </xf>
    <xf numFmtId="0" fontId="5" fillId="3" borderId="0" xfId="0" applyFont="1" applyFill="1"/>
    <xf numFmtId="168" fontId="2" fillId="2" borderId="1" xfId="1" applyNumberFormat="1" applyFont="1" applyFill="1" applyBorder="1"/>
    <xf numFmtId="168" fontId="2" fillId="2" borderId="17" xfId="1" applyNumberFormat="1" applyFont="1" applyFill="1" applyBorder="1"/>
    <xf numFmtId="0" fontId="2" fillId="2" borderId="20" xfId="0" applyFont="1" applyFill="1" applyBorder="1"/>
    <xf numFmtId="44" fontId="2" fillId="4" borderId="15" xfId="1" applyFont="1" applyFill="1" applyBorder="1"/>
    <xf numFmtId="44" fontId="2" fillId="5" borderId="27" xfId="1" applyFont="1" applyFill="1" applyBorder="1" applyAlignment="1">
      <alignment horizontal="center"/>
    </xf>
    <xf numFmtId="44" fontId="2" fillId="5" borderId="1" xfId="0" applyNumberFormat="1" applyFont="1" applyFill="1" applyBorder="1"/>
    <xf numFmtId="44" fontId="4" fillId="2" borderId="0" xfId="0" applyNumberFormat="1" applyFont="1" applyFill="1"/>
    <xf numFmtId="9" fontId="4" fillId="2" borderId="0" xfId="3" applyFont="1" applyFill="1"/>
    <xf numFmtId="44" fontId="2" fillId="5" borderId="27" xfId="1" applyFont="1" applyFill="1" applyBorder="1"/>
    <xf numFmtId="169" fontId="4" fillId="2" borderId="1" xfId="0" applyNumberFormat="1" applyFont="1" applyFill="1" applyBorder="1" applyAlignment="1">
      <alignment horizontal="center"/>
    </xf>
    <xf numFmtId="169" fontId="4" fillId="2" borderId="27" xfId="0" applyNumberFormat="1" applyFont="1" applyFill="1" applyBorder="1" applyAlignment="1">
      <alignment horizontal="center"/>
    </xf>
    <xf numFmtId="169" fontId="4" fillId="2" borderId="32" xfId="0" applyNumberFormat="1" applyFont="1" applyFill="1" applyBorder="1" applyAlignment="1">
      <alignment horizontal="center"/>
    </xf>
    <xf numFmtId="169" fontId="4" fillId="2" borderId="29" xfId="0" applyNumberFormat="1" applyFont="1" applyFill="1" applyBorder="1" applyAlignment="1">
      <alignment horizontal="center"/>
    </xf>
    <xf numFmtId="0" fontId="18" fillId="0" borderId="0" xfId="0" applyFont="1"/>
    <xf numFmtId="10" fontId="18" fillId="0" borderId="0" xfId="0" applyNumberFormat="1" applyFont="1"/>
    <xf numFmtId="9" fontId="18" fillId="0" borderId="0" xfId="0" applyNumberFormat="1" applyFont="1"/>
    <xf numFmtId="0" fontId="19" fillId="0" borderId="0" xfId="0" applyFont="1"/>
    <xf numFmtId="171" fontId="18" fillId="0" borderId="0" xfId="0" applyNumberFormat="1" applyFont="1"/>
    <xf numFmtId="9" fontId="4" fillId="4" borderId="1" xfId="3" applyFont="1" applyFill="1" applyBorder="1" applyAlignment="1">
      <alignment horizontal="center"/>
    </xf>
    <xf numFmtId="169" fontId="4" fillId="4" borderId="1" xfId="3" applyNumberFormat="1" applyFont="1" applyFill="1" applyBorder="1" applyAlignment="1">
      <alignment horizontal="center"/>
    </xf>
    <xf numFmtId="171" fontId="18" fillId="8" borderId="0" xfId="0" applyNumberFormat="1" applyFont="1" applyFill="1"/>
    <xf numFmtId="44" fontId="0" fillId="2" borderId="0" xfId="1" applyFont="1" applyFill="1"/>
    <xf numFmtId="0" fontId="6" fillId="2" borderId="1" xfId="0" applyFont="1" applyFill="1" applyBorder="1" applyAlignment="1">
      <alignment horizontal="center" vertical="center" wrapText="1"/>
    </xf>
    <xf numFmtId="0" fontId="21" fillId="2" borderId="0" xfId="0" applyFont="1" applyFill="1"/>
    <xf numFmtId="0" fontId="21" fillId="2" borderId="1" xfId="0" applyFont="1" applyFill="1" applyBorder="1" applyAlignment="1">
      <alignment vertical="center"/>
    </xf>
    <xf numFmtId="0" fontId="21" fillId="2" borderId="1" xfId="0" applyFont="1" applyFill="1" applyBorder="1" applyAlignment="1">
      <alignment horizontal="center" vertical="center"/>
    </xf>
    <xf numFmtId="0" fontId="21" fillId="2" borderId="1" xfId="0" applyFont="1" applyFill="1" applyBorder="1"/>
    <xf numFmtId="0" fontId="21" fillId="2" borderId="1" xfId="0" applyFont="1" applyFill="1" applyBorder="1" applyAlignment="1">
      <alignment horizontal="center"/>
    </xf>
    <xf numFmtId="0" fontId="22" fillId="2" borderId="1" xfId="0" applyFont="1" applyFill="1" applyBorder="1"/>
    <xf numFmtId="0" fontId="23" fillId="2"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xf>
    <xf numFmtId="166" fontId="21" fillId="4" borderId="1" xfId="4" applyNumberFormat="1" applyFont="1" applyFill="1" applyBorder="1" applyAlignment="1">
      <alignment horizontal="center" vertical="center"/>
    </xf>
    <xf numFmtId="166" fontId="21" fillId="4" borderId="1" xfId="4" applyNumberFormat="1" applyFont="1" applyFill="1" applyBorder="1" applyAlignment="1">
      <alignment horizontal="center"/>
    </xf>
    <xf numFmtId="166" fontId="21" fillId="2" borderId="1" xfId="4" applyNumberFormat="1" applyFont="1" applyFill="1" applyBorder="1" applyAlignment="1">
      <alignment horizontal="center" vertical="center"/>
    </xf>
    <xf numFmtId="44" fontId="21" fillId="2" borderId="1" xfId="1" applyFont="1" applyFill="1" applyBorder="1" applyAlignment="1">
      <alignment horizontal="center" vertical="center"/>
    </xf>
    <xf numFmtId="168" fontId="21" fillId="2" borderId="1" xfId="1" applyNumberFormat="1" applyFont="1" applyFill="1" applyBorder="1" applyAlignment="1">
      <alignment horizontal="center" vertical="center"/>
    </xf>
    <xf numFmtId="168" fontId="2" fillId="2" borderId="0" xfId="0" applyNumberFormat="1" applyFont="1" applyFill="1"/>
    <xf numFmtId="0" fontId="22" fillId="2" borderId="1" xfId="0" applyFont="1" applyFill="1" applyBorder="1" applyAlignment="1">
      <alignment horizontal="center"/>
    </xf>
    <xf numFmtId="0" fontId="22" fillId="4" borderId="1" xfId="0" applyFont="1" applyFill="1" applyBorder="1" applyAlignment="1">
      <alignment horizontal="center"/>
    </xf>
    <xf numFmtId="0" fontId="20" fillId="2" borderId="0" xfId="0" applyFont="1" applyFill="1"/>
    <xf numFmtId="166" fontId="22" fillId="4" borderId="1" xfId="4" applyNumberFormat="1" applyFont="1" applyFill="1" applyBorder="1" applyAlignment="1">
      <alignment horizontal="center"/>
    </xf>
    <xf numFmtId="166" fontId="22" fillId="2" borderId="1" xfId="4" applyNumberFormat="1" applyFont="1" applyFill="1" applyBorder="1" applyAlignment="1">
      <alignment horizontal="center" vertical="center"/>
    </xf>
    <xf numFmtId="168" fontId="22" fillId="2" borderId="1" xfId="1" applyNumberFormat="1" applyFont="1" applyFill="1" applyBorder="1" applyAlignment="1">
      <alignment horizontal="center" vertical="center"/>
    </xf>
    <xf numFmtId="44" fontId="22" fillId="2" borderId="1" xfId="1" applyFont="1" applyFill="1" applyBorder="1" applyAlignment="1">
      <alignment horizontal="center" vertical="center"/>
    </xf>
    <xf numFmtId="0" fontId="24" fillId="2" borderId="0" xfId="0" applyFont="1" applyFill="1" applyAlignment="1">
      <alignment vertical="center"/>
    </xf>
    <xf numFmtId="0" fontId="25" fillId="2" borderId="0" xfId="0" applyFont="1" applyFill="1"/>
    <xf numFmtId="17" fontId="26" fillId="2" borderId="10" xfId="0" applyNumberFormat="1" applyFont="1" applyFill="1" applyBorder="1" applyAlignment="1">
      <alignment vertical="center"/>
    </xf>
    <xf numFmtId="172" fontId="27" fillId="2" borderId="0" xfId="0" applyNumberFormat="1" applyFont="1" applyFill="1" applyAlignment="1">
      <alignment vertical="center"/>
    </xf>
    <xf numFmtId="173" fontId="27" fillId="2" borderId="0" xfId="0" applyNumberFormat="1" applyFont="1" applyFill="1" applyAlignment="1">
      <alignment vertical="center"/>
    </xf>
    <xf numFmtId="0" fontId="29" fillId="2" borderId="0" xfId="0" applyFont="1" applyFill="1"/>
    <xf numFmtId="0" fontId="29" fillId="2" borderId="0" xfId="0" applyFont="1" applyFill="1" applyAlignment="1">
      <alignment vertical="center"/>
    </xf>
    <xf numFmtId="0" fontId="9" fillId="8" borderId="0" xfId="0" applyFont="1" applyFill="1" applyAlignment="1">
      <alignment horizontal="center"/>
    </xf>
    <xf numFmtId="0" fontId="5" fillId="8" borderId="0" xfId="0" applyFont="1" applyFill="1" applyAlignment="1">
      <alignment horizontal="center"/>
    </xf>
    <xf numFmtId="0" fontId="11" fillId="8" borderId="0" xfId="0" applyFont="1" applyFill="1" applyAlignment="1">
      <alignment horizontal="center"/>
    </xf>
    <xf numFmtId="0" fontId="2" fillId="0" borderId="0" xfId="0" applyFont="1"/>
    <xf numFmtId="0" fontId="2" fillId="8" borderId="0" xfId="0" applyFont="1" applyFill="1" applyAlignment="1">
      <alignment horizontal="center"/>
    </xf>
    <xf numFmtId="0" fontId="4" fillId="8" borderId="0" xfId="0" applyFont="1" applyFill="1" applyAlignment="1">
      <alignment horizontal="center"/>
    </xf>
    <xf numFmtId="0" fontId="11" fillId="8" borderId="0" xfId="0" applyFont="1" applyFill="1" applyAlignment="1">
      <alignment horizontal="left"/>
    </xf>
    <xf numFmtId="0" fontId="21" fillId="2" borderId="0" xfId="0" applyFont="1" applyFill="1" applyAlignment="1">
      <alignment horizontal="center" vertical="center"/>
    </xf>
    <xf numFmtId="0" fontId="21" fillId="2" borderId="0" xfId="0" applyFont="1" applyFill="1" applyAlignment="1">
      <alignment vertical="center"/>
    </xf>
    <xf numFmtId="166" fontId="21" fillId="2" borderId="0" xfId="4" applyNumberFormat="1" applyFont="1" applyFill="1" applyBorder="1" applyAlignment="1">
      <alignment horizontal="center" vertical="center"/>
    </xf>
    <xf numFmtId="168" fontId="21" fillId="2" borderId="0" xfId="1" applyNumberFormat="1" applyFont="1" applyFill="1" applyBorder="1" applyAlignment="1">
      <alignment horizontal="center" vertical="center"/>
    </xf>
    <xf numFmtId="44" fontId="21" fillId="2" borderId="0" xfId="1" applyFont="1" applyFill="1" applyBorder="1" applyAlignment="1">
      <alignment horizontal="center" vertical="center"/>
    </xf>
    <xf numFmtId="16" fontId="2" fillId="2" borderId="0" xfId="0" quotePrefix="1" applyNumberFormat="1" applyFont="1" applyFill="1" applyAlignment="1">
      <alignment horizontal="center"/>
    </xf>
    <xf numFmtId="173" fontId="28" fillId="2" borderId="0" xfId="0" applyNumberFormat="1" applyFont="1" applyFill="1" applyAlignment="1">
      <alignment vertical="center"/>
    </xf>
    <xf numFmtId="0" fontId="29" fillId="2" borderId="0" xfId="0" applyFont="1" applyFill="1" applyAlignment="1">
      <alignment horizontal="center" vertical="center"/>
    </xf>
    <xf numFmtId="1" fontId="32" fillId="2" borderId="0" xfId="0" applyNumberFormat="1" applyFont="1" applyFill="1" applyAlignment="1">
      <alignment horizontal="center"/>
    </xf>
    <xf numFmtId="172" fontId="32" fillId="2" borderId="0" xfId="0" applyNumberFormat="1" applyFont="1" applyFill="1" applyAlignment="1">
      <alignment vertical="center"/>
    </xf>
    <xf numFmtId="1" fontId="32" fillId="2" borderId="0" xfId="0" applyNumberFormat="1" applyFont="1" applyFill="1" applyAlignment="1">
      <alignment horizontal="center" vertical="center"/>
    </xf>
    <xf numFmtId="0" fontId="32" fillId="2" borderId="0" xfId="0" applyFont="1" applyFill="1"/>
    <xf numFmtId="0" fontId="33" fillId="2" borderId="1" xfId="0" applyFont="1" applyFill="1" applyBorder="1" applyAlignment="1">
      <alignment horizontal="center" vertical="center" wrapText="1"/>
    </xf>
    <xf numFmtId="1" fontId="29" fillId="2" borderId="1" xfId="0" applyNumberFormat="1" applyFont="1" applyFill="1" applyBorder="1" applyAlignment="1">
      <alignment horizontal="center"/>
    </xf>
    <xf numFmtId="1" fontId="27" fillId="2" borderId="1" xfId="0" applyNumberFormat="1" applyFont="1" applyFill="1" applyBorder="1" applyAlignment="1">
      <alignment horizontal="center" vertical="center"/>
    </xf>
    <xf numFmtId="44" fontId="27" fillId="2" borderId="1" xfId="1" applyFont="1" applyFill="1" applyBorder="1" applyAlignment="1">
      <alignment horizontal="center" vertical="center"/>
    </xf>
    <xf numFmtId="166" fontId="32" fillId="2" borderId="0" xfId="4" applyNumberFormat="1" applyFont="1" applyFill="1" applyAlignment="1">
      <alignment horizontal="right" vertical="center"/>
    </xf>
    <xf numFmtId="166" fontId="29" fillId="2" borderId="0" xfId="4" applyNumberFormat="1" applyFont="1" applyFill="1" applyAlignment="1">
      <alignment horizontal="right" vertical="center"/>
    </xf>
    <xf numFmtId="172" fontId="27" fillId="4" borderId="1" xfId="0" applyNumberFormat="1" applyFont="1" applyFill="1" applyBorder="1" applyAlignment="1">
      <alignment vertical="center"/>
    </xf>
    <xf numFmtId="166" fontId="27" fillId="4" borderId="1" xfId="4" applyNumberFormat="1" applyFont="1" applyFill="1" applyBorder="1" applyAlignment="1">
      <alignment horizontal="right" vertical="center"/>
    </xf>
    <xf numFmtId="172" fontId="32" fillId="4" borderId="1" xfId="0" applyNumberFormat="1" applyFont="1" applyFill="1" applyBorder="1" applyAlignment="1">
      <alignment vertical="center"/>
    </xf>
    <xf numFmtId="166" fontId="32" fillId="4" borderId="1" xfId="4" applyNumberFormat="1" applyFont="1" applyFill="1" applyBorder="1" applyAlignment="1">
      <alignment horizontal="right" vertical="center"/>
    </xf>
    <xf numFmtId="1" fontId="32" fillId="2" borderId="1" xfId="0" applyNumberFormat="1" applyFont="1" applyFill="1" applyBorder="1" applyAlignment="1">
      <alignment horizontal="center"/>
    </xf>
    <xf numFmtId="1" fontId="32" fillId="2" borderId="1" xfId="0" applyNumberFormat="1" applyFont="1" applyFill="1" applyBorder="1" applyAlignment="1">
      <alignment horizontal="center" vertical="center"/>
    </xf>
    <xf numFmtId="44" fontId="32" fillId="2" borderId="1" xfId="1" applyFont="1" applyFill="1" applyBorder="1" applyAlignment="1">
      <alignment horizontal="center" vertical="center"/>
    </xf>
    <xf numFmtId="0" fontId="29" fillId="2" borderId="0" xfId="0" applyFont="1" applyFill="1" applyAlignment="1">
      <alignment horizontal="center"/>
    </xf>
    <xf numFmtId="1" fontId="27" fillId="2" borderId="0" xfId="0" applyNumberFormat="1" applyFont="1" applyFill="1" applyAlignment="1">
      <alignment horizontal="center" vertical="center"/>
    </xf>
    <xf numFmtId="44" fontId="27" fillId="2" borderId="0" xfId="1" applyFont="1" applyFill="1" applyBorder="1" applyAlignment="1">
      <alignment horizontal="center" vertical="center"/>
    </xf>
    <xf numFmtId="166" fontId="27" fillId="2" borderId="0" xfId="4" applyNumberFormat="1" applyFont="1" applyFill="1" applyBorder="1" applyAlignment="1">
      <alignment horizontal="right" vertical="center"/>
    </xf>
    <xf numFmtId="44" fontId="29" fillId="2" borderId="0" xfId="0" applyNumberFormat="1" applyFont="1" applyFill="1"/>
    <xf numFmtId="44" fontId="2" fillId="2" borderId="0" xfId="0" applyNumberFormat="1" applyFont="1" applyFill="1" applyAlignment="1">
      <alignment horizontal="center"/>
    </xf>
    <xf numFmtId="174" fontId="2" fillId="2" borderId="0" xfId="1" applyNumberFormat="1" applyFont="1" applyFill="1"/>
    <xf numFmtId="174" fontId="2" fillId="2" borderId="0" xfId="0" applyNumberFormat="1" applyFont="1" applyFill="1"/>
    <xf numFmtId="44" fontId="2" fillId="8" borderId="26" xfId="1" applyFont="1" applyFill="1" applyBorder="1" applyAlignment="1">
      <alignment horizontal="center"/>
    </xf>
    <xf numFmtId="0" fontId="2" fillId="4" borderId="9" xfId="0" applyFont="1" applyFill="1" applyBorder="1" applyAlignment="1">
      <alignment vertical="center"/>
    </xf>
    <xf numFmtId="0" fontId="4" fillId="4" borderId="2" xfId="0" applyFont="1" applyFill="1" applyBorder="1" applyAlignment="1">
      <alignment horizontal="left"/>
    </xf>
    <xf numFmtId="0" fontId="4" fillId="4" borderId="2" xfId="0" applyFont="1" applyFill="1" applyBorder="1" applyAlignment="1">
      <alignment horizontal="center"/>
    </xf>
    <xf numFmtId="0" fontId="2" fillId="4" borderId="5" xfId="0" applyFont="1" applyFill="1" applyBorder="1" applyAlignment="1">
      <alignment horizontal="center"/>
    </xf>
    <xf numFmtId="44" fontId="4" fillId="2" borderId="3" xfId="1" applyFont="1" applyFill="1" applyBorder="1"/>
    <xf numFmtId="44" fontId="4" fillId="8" borderId="3" xfId="1" applyFont="1" applyFill="1" applyBorder="1"/>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8" xfId="0" applyFont="1" applyFill="1" applyBorder="1" applyAlignment="1">
      <alignment horizontal="center" vertical="center" wrapText="1"/>
    </xf>
    <xf numFmtId="0" fontId="2" fillId="4" borderId="9" xfId="0" applyFont="1" applyFill="1" applyBorder="1" applyAlignment="1">
      <alignment horizontal="center"/>
    </xf>
    <xf numFmtId="44" fontId="4" fillId="4" borderId="2" xfId="1" applyFont="1" applyFill="1" applyBorder="1"/>
    <xf numFmtId="0" fontId="2" fillId="4" borderId="4" xfId="0" applyFont="1" applyFill="1" applyBorder="1" applyAlignment="1">
      <alignment horizontal="center"/>
    </xf>
    <xf numFmtId="169" fontId="2" fillId="4" borderId="30" xfId="0" applyNumberFormat="1" applyFont="1" applyFill="1" applyBorder="1" applyAlignment="1">
      <alignment horizontal="center"/>
    </xf>
    <xf numFmtId="44" fontId="2" fillId="2" borderId="14" xfId="1" applyFont="1" applyFill="1" applyBorder="1"/>
    <xf numFmtId="44" fontId="2" fillId="2" borderId="2" xfId="0" applyNumberFormat="1" applyFont="1" applyFill="1" applyBorder="1"/>
    <xf numFmtId="44" fontId="4" fillId="2" borderId="4" xfId="1" applyFont="1" applyFill="1" applyBorder="1"/>
    <xf numFmtId="44" fontId="2" fillId="2" borderId="16" xfId="1" applyFont="1" applyFill="1" applyBorder="1" applyAlignment="1">
      <alignment horizontal="center"/>
    </xf>
    <xf numFmtId="44" fontId="5" fillId="4" borderId="1" xfId="1" applyFont="1" applyFill="1" applyBorder="1"/>
    <xf numFmtId="166" fontId="6" fillId="8" borderId="1" xfId="4" applyNumberFormat="1" applyFont="1" applyFill="1" applyBorder="1" applyAlignment="1">
      <alignment horizontal="center" textRotation="90"/>
    </xf>
    <xf numFmtId="167" fontId="2" fillId="8" borderId="1" xfId="0" applyNumberFormat="1" applyFont="1" applyFill="1" applyBorder="1"/>
    <xf numFmtId="44" fontId="2" fillId="8" borderId="1" xfId="1" applyFont="1" applyFill="1" applyBorder="1"/>
    <xf numFmtId="0" fontId="3" fillId="2" borderId="0" xfId="0" applyFont="1" applyFill="1"/>
    <xf numFmtId="0" fontId="2" fillId="2" borderId="1" xfId="0" applyFont="1" applyFill="1" applyBorder="1" applyAlignment="1">
      <alignment horizontal="left"/>
    </xf>
    <xf numFmtId="44" fontId="2" fillId="2" borderId="1" xfId="1" applyFont="1" applyFill="1" applyBorder="1" applyAlignment="1">
      <alignment horizontal="left"/>
    </xf>
    <xf numFmtId="0" fontId="2" fillId="2" borderId="0" xfId="0" applyFont="1" applyFill="1" applyAlignment="1">
      <alignment horizontal="center" textRotation="90"/>
    </xf>
    <xf numFmtId="0" fontId="35" fillId="9" borderId="0" xfId="7" applyAlignment="1">
      <alignment horizontal="center"/>
    </xf>
    <xf numFmtId="0" fontId="6" fillId="2" borderId="36"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2" fillId="2" borderId="5" xfId="0" applyFont="1" applyFill="1" applyBorder="1"/>
    <xf numFmtId="0" fontId="2" fillId="4" borderId="7" xfId="0" applyFont="1" applyFill="1" applyBorder="1" applyAlignment="1">
      <alignment horizontal="center"/>
    </xf>
    <xf numFmtId="44" fontId="4" fillId="2" borderId="0" xfId="1" applyFont="1" applyFill="1" applyBorder="1"/>
    <xf numFmtId="0" fontId="9" fillId="4" borderId="1" xfId="0" applyFont="1" applyFill="1" applyBorder="1" applyAlignment="1">
      <alignment horizontal="center"/>
    </xf>
    <xf numFmtId="0" fontId="2" fillId="2" borderId="43" xfId="0" applyFont="1" applyFill="1" applyBorder="1" applyAlignment="1">
      <alignment horizontal="center"/>
    </xf>
    <xf numFmtId="0" fontId="2" fillId="2" borderId="44" xfId="0" applyFont="1" applyFill="1" applyBorder="1" applyAlignment="1">
      <alignment horizontal="center"/>
    </xf>
    <xf numFmtId="44" fontId="4" fillId="2" borderId="43" xfId="1" applyFont="1" applyFill="1" applyBorder="1"/>
    <xf numFmtId="44" fontId="4" fillId="2" borderId="45" xfId="1" applyFont="1" applyFill="1" applyBorder="1"/>
    <xf numFmtId="44" fontId="4" fillId="2" borderId="46" xfId="1" applyFont="1" applyFill="1" applyBorder="1"/>
    <xf numFmtId="44" fontId="4" fillId="2" borderId="44" xfId="1" applyFont="1" applyFill="1" applyBorder="1"/>
    <xf numFmtId="44" fontId="4" fillId="2" borderId="47" xfId="1" applyFont="1" applyFill="1" applyBorder="1"/>
    <xf numFmtId="9" fontId="2" fillId="4" borderId="0" xfId="0" applyNumberFormat="1" applyFont="1" applyFill="1" applyAlignment="1">
      <alignment horizontal="center"/>
    </xf>
    <xf numFmtId="0" fontId="2" fillId="4" borderId="44" xfId="0" applyFont="1" applyFill="1" applyBorder="1"/>
    <xf numFmtId="0" fontId="2" fillId="4" borderId="47" xfId="0" applyFont="1" applyFill="1" applyBorder="1"/>
    <xf numFmtId="44" fontId="4" fillId="4" borderId="7" xfId="1" applyFont="1" applyFill="1" applyBorder="1"/>
    <xf numFmtId="9" fontId="2" fillId="2" borderId="0" xfId="3" applyFont="1" applyFill="1"/>
    <xf numFmtId="9" fontId="29" fillId="2" borderId="0" xfId="3" applyFont="1" applyFill="1" applyAlignment="1">
      <alignment horizontal="center"/>
    </xf>
    <xf numFmtId="169" fontId="29" fillId="2" borderId="0" xfId="3" applyNumberFormat="1" applyFont="1" applyFill="1" applyAlignment="1">
      <alignment horizontal="center"/>
    </xf>
    <xf numFmtId="166" fontId="27" fillId="4" borderId="0" xfId="4" applyNumberFormat="1" applyFont="1" applyFill="1" applyBorder="1" applyAlignment="1">
      <alignment horizontal="right" vertical="center"/>
    </xf>
    <xf numFmtId="166" fontId="32" fillId="4" borderId="0" xfId="4" applyNumberFormat="1" applyFont="1" applyFill="1" applyBorder="1" applyAlignment="1">
      <alignment horizontal="right" vertical="center"/>
    </xf>
    <xf numFmtId="44" fontId="27" fillId="4" borderId="1" xfId="1" applyFont="1" applyFill="1" applyBorder="1" applyAlignment="1">
      <alignment horizontal="right" vertical="center"/>
    </xf>
    <xf numFmtId="0" fontId="37" fillId="2" borderId="1" xfId="0" applyFont="1" applyFill="1" applyBorder="1" applyAlignment="1">
      <alignment horizontal="center" vertical="center" wrapText="1"/>
    </xf>
    <xf numFmtId="169" fontId="27" fillId="2" borderId="1" xfId="3" applyNumberFormat="1" applyFont="1" applyFill="1" applyBorder="1" applyAlignment="1">
      <alignment horizontal="center" vertical="center"/>
    </xf>
    <xf numFmtId="0" fontId="4" fillId="2" borderId="1" xfId="1" applyNumberFormat="1" applyFont="1" applyFill="1" applyBorder="1" applyAlignment="1">
      <alignment horizontal="center"/>
    </xf>
    <xf numFmtId="0" fontId="38" fillId="0" borderId="0" xfId="0" applyFont="1"/>
    <xf numFmtId="164" fontId="38" fillId="0" borderId="0" xfId="0" applyNumberFormat="1" applyFont="1"/>
    <xf numFmtId="4" fontId="38" fillId="0" borderId="0" xfId="0" applyNumberFormat="1" applyFont="1"/>
    <xf numFmtId="0" fontId="2" fillId="4" borderId="3" xfId="0" applyFont="1" applyFill="1" applyBorder="1"/>
    <xf numFmtId="0" fontId="2" fillId="4" borderId="4" xfId="0" applyFont="1" applyFill="1" applyBorder="1"/>
    <xf numFmtId="0" fontId="6" fillId="2" borderId="7" xfId="0" applyFont="1" applyFill="1" applyBorder="1" applyAlignment="1">
      <alignment horizontal="center" textRotation="90"/>
    </xf>
    <xf numFmtId="0" fontId="6" fillId="2" borderId="8" xfId="0" applyFont="1" applyFill="1" applyBorder="1" applyAlignment="1">
      <alignment horizontal="center" textRotation="90"/>
    </xf>
    <xf numFmtId="166" fontId="4" fillId="2" borderId="3" xfId="4" applyNumberFormat="1" applyFont="1" applyFill="1" applyBorder="1" applyAlignment="1">
      <alignment horizontal="center"/>
    </xf>
    <xf numFmtId="44" fontId="2" fillId="2" borderId="3" xfId="0" applyNumberFormat="1" applyFont="1" applyFill="1" applyBorder="1"/>
    <xf numFmtId="175" fontId="29" fillId="2" borderId="0" xfId="0" applyNumberFormat="1" applyFont="1" applyFill="1"/>
    <xf numFmtId="44" fontId="4" fillId="2" borderId="0" xfId="1" applyFont="1" applyFill="1"/>
    <xf numFmtId="44" fontId="0" fillId="2" borderId="1" xfId="1" applyFont="1" applyFill="1" applyBorder="1"/>
    <xf numFmtId="0" fontId="2" fillId="4" borderId="1" xfId="0" applyFont="1" applyFill="1" applyBorder="1" applyAlignment="1">
      <alignment vertical="center"/>
    </xf>
    <xf numFmtId="0" fontId="4" fillId="4" borderId="1" xfId="0" applyFont="1" applyFill="1" applyBorder="1"/>
    <xf numFmtId="0" fontId="4" fillId="4" borderId="3" xfId="0" applyFont="1" applyFill="1" applyBorder="1"/>
    <xf numFmtId="0" fontId="38" fillId="0" borderId="0" xfId="0" applyFont="1" applyAlignment="1">
      <alignment wrapText="1"/>
    </xf>
    <xf numFmtId="0" fontId="14" fillId="6"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36" fillId="6" borderId="0" xfId="0" applyFont="1" applyFill="1" applyAlignment="1">
      <alignment horizontal="center" vertical="center"/>
    </xf>
    <xf numFmtId="0" fontId="12" fillId="2" borderId="21" xfId="0" applyFont="1" applyFill="1" applyBorder="1" applyAlignment="1">
      <alignment horizontal="center"/>
    </xf>
    <xf numFmtId="0" fontId="12" fillId="2" borderId="22" xfId="0" applyFont="1" applyFill="1" applyBorder="1" applyAlignment="1">
      <alignment horizontal="center"/>
    </xf>
    <xf numFmtId="0" fontId="12" fillId="2" borderId="23" xfId="0" applyFont="1" applyFill="1" applyBorder="1" applyAlignment="1">
      <alignment horizontal="center"/>
    </xf>
    <xf numFmtId="0" fontId="36" fillId="7" borderId="0" xfId="0" applyFont="1" applyFill="1" applyAlignment="1">
      <alignment horizontal="center" vertical="center"/>
    </xf>
    <xf numFmtId="0" fontId="14" fillId="7" borderId="0" xfId="0" applyFont="1" applyFill="1" applyAlignment="1">
      <alignment horizontal="center" vertical="center"/>
    </xf>
    <xf numFmtId="0" fontId="3" fillId="2" borderId="40" xfId="0" applyFont="1" applyFill="1" applyBorder="1" applyAlignment="1">
      <alignment horizontal="center"/>
    </xf>
    <xf numFmtId="0" fontId="3" fillId="2" borderId="41" xfId="0" applyFont="1" applyFill="1" applyBorder="1" applyAlignment="1">
      <alignment horizontal="center"/>
    </xf>
    <xf numFmtId="0" fontId="3" fillId="2" borderId="42" xfId="0" applyFont="1" applyFill="1" applyBorder="1" applyAlignment="1">
      <alignment horizontal="center"/>
    </xf>
    <xf numFmtId="0" fontId="3" fillId="4" borderId="3" xfId="0" applyFont="1" applyFill="1" applyBorder="1" applyAlignment="1">
      <alignment horizontal="center"/>
    </xf>
    <xf numFmtId="0" fontId="3" fillId="4" borderId="10" xfId="0" applyFont="1" applyFill="1" applyBorder="1" applyAlignment="1">
      <alignment horizontal="center"/>
    </xf>
    <xf numFmtId="0" fontId="3" fillId="4" borderId="5" xfId="0" applyFont="1" applyFill="1" applyBorder="1" applyAlignment="1">
      <alignment horizontal="center"/>
    </xf>
    <xf numFmtId="44" fontId="3" fillId="2" borderId="35" xfId="1" applyFont="1" applyFill="1" applyBorder="1" applyAlignment="1">
      <alignment horizontal="center"/>
    </xf>
    <xf numFmtId="0" fontId="37" fillId="2" borderId="3"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5" xfId="0" applyFont="1" applyFill="1" applyBorder="1" applyAlignment="1">
      <alignment horizontal="center" vertical="center" wrapText="1"/>
    </xf>
    <xf numFmtId="172" fontId="31" fillId="2" borderId="2" xfId="0" applyNumberFormat="1" applyFont="1" applyFill="1" applyBorder="1" applyAlignment="1">
      <alignment horizontal="center" vertical="center"/>
    </xf>
    <xf numFmtId="172" fontId="31" fillId="2" borderId="7" xfId="0" applyNumberFormat="1" applyFont="1" applyFill="1" applyBorder="1" applyAlignment="1">
      <alignment horizontal="center" vertical="center"/>
    </xf>
    <xf numFmtId="166" fontId="31" fillId="2" borderId="2" xfId="4" applyNumberFormat="1" applyFont="1" applyFill="1" applyBorder="1" applyAlignment="1">
      <alignment horizontal="center" vertical="center" wrapText="1"/>
    </xf>
    <xf numFmtId="166" fontId="31" fillId="2" borderId="7" xfId="4" applyNumberFormat="1"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7" xfId="0" applyFont="1" applyFill="1" applyBorder="1" applyAlignment="1">
      <alignment horizontal="center" vertical="center"/>
    </xf>
    <xf numFmtId="172" fontId="31" fillId="2" borderId="2" xfId="0" applyNumberFormat="1" applyFont="1" applyFill="1" applyBorder="1" applyAlignment="1">
      <alignment horizontal="center" vertical="center" wrapText="1"/>
    </xf>
    <xf numFmtId="172" fontId="31" fillId="2" borderId="7" xfId="0" applyNumberFormat="1" applyFont="1" applyFill="1" applyBorder="1" applyAlignment="1">
      <alignment horizontal="center" vertical="center" wrapText="1"/>
    </xf>
    <xf numFmtId="166" fontId="31" fillId="2" borderId="2" xfId="4" applyNumberFormat="1" applyFont="1" applyFill="1" applyBorder="1" applyAlignment="1">
      <alignment horizontal="center" vertical="center"/>
    </xf>
    <xf numFmtId="166" fontId="31" fillId="2" borderId="7" xfId="4" applyNumberFormat="1" applyFont="1" applyFill="1" applyBorder="1" applyAlignment="1">
      <alignment horizontal="center" vertical="center"/>
    </xf>
    <xf numFmtId="17" fontId="26" fillId="2" borderId="3" xfId="0" applyNumberFormat="1" applyFont="1" applyFill="1" applyBorder="1" applyAlignment="1">
      <alignment horizontal="center" vertical="center"/>
    </xf>
    <xf numFmtId="17" fontId="26" fillId="2" borderId="10" xfId="0" applyNumberFormat="1" applyFont="1" applyFill="1" applyBorder="1" applyAlignment="1">
      <alignment horizontal="center" vertical="center"/>
    </xf>
    <xf numFmtId="17" fontId="26" fillId="2" borderId="5" xfId="0" applyNumberFormat="1" applyFont="1" applyFill="1" applyBorder="1" applyAlignment="1">
      <alignment horizontal="center" vertical="center"/>
    </xf>
    <xf numFmtId="0" fontId="0" fillId="2" borderId="0" xfId="0" applyFill="1" applyAlignment="1">
      <alignment horizontal="center"/>
    </xf>
  </cellXfs>
  <cellStyles count="8">
    <cellStyle name="Comma" xfId="4" builtinId="3"/>
    <cellStyle name="Comma 2" xfId="6" xr:uid="{33026D3E-C53D-41E3-9AB4-99AB2D3ABBB0}"/>
    <cellStyle name="Currency" xfId="1" builtinId="4"/>
    <cellStyle name="Currency 2" xfId="5" xr:uid="{29CF7DD6-AF0E-4921-8B0B-E02BFB45CF7A}"/>
    <cellStyle name="Good" xfId="7" builtinId="26"/>
    <cellStyle name="Normal" xfId="0" builtinId="0"/>
    <cellStyle name="Normal 2" xfId="2" xr:uid="{563B1EE0-34BD-4556-9B5E-ABA392209952}"/>
    <cellStyle name="Percent" xfId="3" builtinId="5"/>
  </cellStyles>
  <dxfs count="10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border diagonalUp="0" diagonalDown="0">
        <left style="hair">
          <color indexed="64"/>
        </left>
        <right/>
        <top style="hair">
          <color indexed="64"/>
        </top>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numFmt numFmtId="166" formatCode="_-* #,##0_-;\-* #,##0_-;_-* &quot;-&quot;??_-;_-@_-"/>
      <fill>
        <patternFill patternType="solid">
          <fgColor indexed="64"/>
          <bgColor theme="0"/>
        </patternFill>
      </fill>
      <alignment horizontal="center" vertical="bottom" textRotation="0" wrapText="0" indent="0" justifyLastLine="0" shrinkToFit="0" readingOrder="0"/>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left"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right style="hair">
          <color indexed="64"/>
        </right>
        <top style="hair">
          <color indexed="64"/>
        </top>
        <bottom style="hair">
          <color indexed="64"/>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dxf>
    <dxf>
      <border>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patternFill>
      </fill>
      <alignment horizontal="center" vertical="bottom" textRotation="90" wrapText="0" indent="0" justifyLastLine="0" shrinkToFit="0" readingOrder="0"/>
      <border diagonalUp="0" diagonalDown="0">
        <left style="hair">
          <color indexed="64"/>
        </left>
        <right style="hair">
          <color indexed="64"/>
        </right>
        <top/>
        <bottom/>
        <vertical style="hair">
          <color indexed="64"/>
        </vertical>
        <horizontal style="hair">
          <color indexed="64"/>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outline="0">
        <left style="hair">
          <color indexed="64"/>
        </left>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tint="-4.9989318521683403E-2"/>
        </patternFill>
      </fill>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patternFill>
      </fill>
      <border diagonalUp="0" diagonalDown="0">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i val="0"/>
        <strike val="0"/>
        <condense val="0"/>
        <extend val="0"/>
        <outline val="0"/>
        <shadow val="0"/>
        <u val="none"/>
        <vertAlign val="baseline"/>
        <sz val="11"/>
        <color auto="1"/>
        <name val="Lato Ligh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auto="1"/>
        <name val="Lato Light"/>
        <family val="2"/>
        <scheme val="none"/>
      </font>
      <fill>
        <patternFill patternType="solid">
          <fgColor indexed="64"/>
          <bgColor theme="0"/>
        </patternFill>
      </fill>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34" formatCode="_-&quot;$&quot;* #,##0.00_-;\-&quot;$&quot;* #,##0.00_-;_-&quot;$&quot;* &quot;-&quot;??_-;_-@_-"/>
      <fill>
        <patternFill patternType="solid">
          <fgColor indexed="64"/>
          <bgColor theme="0"/>
        </patternFill>
      </fill>
      <border diagonalUp="0" diagonalDown="0">
        <left style="medium">
          <color theme="5"/>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numFmt numFmtId="169" formatCode="0.0%"/>
      <fill>
        <patternFill patternType="solid">
          <fgColor indexed="64"/>
          <bgColor theme="0" tint="-4.9989318521683403E-2"/>
        </patternFill>
      </fill>
      <alignment horizontal="center" vertical="bottom"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auto="1"/>
        <name val="Lato Light"/>
        <family val="2"/>
        <scheme val="none"/>
      </font>
      <fill>
        <patternFill patternType="solid">
          <fgColor indexed="64"/>
          <bgColor theme="0" tint="-4.9989318521683403E-2"/>
        </patternFill>
      </fill>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Lato Light"/>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right style="hair">
          <color indexed="64"/>
        </right>
        <top style="hair">
          <color indexed="64"/>
        </top>
        <bottom style="hair">
          <color indexed="64"/>
        </bottom>
        <vertical/>
        <horizontal/>
      </border>
    </dxf>
    <dxf>
      <border outline="0">
        <left style="hair">
          <color indexed="64"/>
        </left>
        <right style="medium">
          <color theme="5"/>
        </right>
        <top style="hair">
          <color indexed="64"/>
        </top>
        <bottom style="hair">
          <color indexed="64"/>
        </bottom>
      </border>
    </dxf>
    <dxf>
      <font>
        <b val="0"/>
        <i val="0"/>
        <strike val="0"/>
        <condense val="0"/>
        <extend val="0"/>
        <outline val="0"/>
        <shadow val="0"/>
        <u val="none"/>
        <vertAlign val="baseline"/>
        <sz val="11"/>
        <color theme="1"/>
        <name val="Lato Light"/>
        <family val="2"/>
        <scheme val="none"/>
      </font>
      <fill>
        <patternFill patternType="solid">
          <fgColor indexed="64"/>
          <bgColor theme="0"/>
        </patternFill>
      </fill>
    </dxf>
    <dxf>
      <font>
        <b/>
        <i val="0"/>
        <strike val="0"/>
        <condense val="0"/>
        <extend val="0"/>
        <outline val="0"/>
        <shadow val="0"/>
        <u val="none"/>
        <vertAlign val="baseline"/>
        <sz val="11"/>
        <color auto="1"/>
        <name val="Lato Light"/>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hair">
          <color indexed="64"/>
        </left>
        <right style="hair">
          <color indexed="64"/>
        </right>
        <top/>
        <bottom/>
      </border>
    </dxf>
  </dxfs>
  <tableStyles count="1" defaultTableStyle="TableStyleMedium2" defaultPivotStyle="PivotStyleLight16">
    <tableStyle name="Invisible" pivot="0" table="0" count="0" xr9:uid="{522DB528-19E4-42CB-B088-A53859256396}"/>
  </tableStyles>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8DAF968-42ED-4955-ACB2-478D37D8DB19}" name="ProductCost" displayName="ProductCost" ref="A4:R205" totalsRowShown="0" headerRowDxfId="106" dataDxfId="105" tableBorderDxfId="104">
  <autoFilter ref="A4:R205" xr:uid="{88DAF968-42ED-4955-ACB2-478D37D8DB19}"/>
  <tableColumns count="18">
    <tableColumn id="1" xr3:uid="{A0CEC7ED-1A0F-4D0F-BF6C-D5D538431F56}" name="Client" dataDxfId="103"/>
    <tableColumn id="2" xr3:uid="{01A974A2-8A32-44B1-8879-3D6808A42799}" name="Item ID" dataDxfId="102"/>
    <tableColumn id="3" xr3:uid="{4059FE45-703C-451D-8094-034A8CEF4A09}" name="Name" dataDxfId="101" dataCellStyle="Currency"/>
    <tableColumn id="4" xr3:uid="{FAC22F7E-8A70-40AA-8809-83E4056F3B12}" name="Mix / Product Name" dataDxfId="100" dataCellStyle="Currency"/>
    <tableColumn id="5" xr3:uid="{FFDBA221-03F9-421B-BB30-CA0D9584DBAE}" name="Standard or Bulka" dataDxfId="99"/>
    <tableColumn id="6" xr3:uid="{E3F132B5-B4DB-44B0-9396-308233ED28C7}" name="Own Bag" dataDxfId="98"/>
    <tableColumn id="7" xr3:uid="{C11B2184-4042-4A81-9480-3F9A6D3579C9}" name="Std Unit of Measure" dataDxfId="97"/>
    <tableColumn id="8" xr3:uid="{D421E6DC-4CF3-4D33-BBFD-EFA908FE6990}" name="Items Per Pallet" dataDxfId="96"/>
    <tableColumn id="9" xr3:uid="{37BF3E7D-4149-4C7D-AF78-A5253D49D1EC}" name="Bagging Process" dataDxfId="95"/>
    <tableColumn id="10" xr3:uid="{889F68C5-CD1D-4BDE-95BB-25351FDB4207}" name="Distributor" dataDxfId="94"/>
    <tableColumn id="11" xr3:uid="{7D0A1425-BA77-461D-B4F4-0A3883F22600}" name="Wholesale" dataDxfId="93"/>
    <tableColumn id="12" xr3:uid="{AF9A472D-72B2-4413-BD99-1703EC03774A}" name="Cleaned Product" dataDxfId="92" dataCellStyle="Currency">
      <calculatedColumnFormula>VLOOKUP(ProductCost[[#This Row],[Mix / Product Name]],'M - All'!$B$100:$D$330,3,FALSE)</calculatedColumnFormula>
    </tableColumn>
    <tableColumn id="13" xr3:uid="{BC293A21-9F0F-4B11-BF55-B9EAD6213FB4}" name="Grading" dataDxfId="91" dataCellStyle="Currency">
      <calculatedColumnFormula>IFERROR(IF(OR(A5="PHF Horse Mixes",A5="Peckish",A5="Hay &amp; Straw",ProductCost[[#This Row],[Bagging Process]]=""),0,$Y$7),0)</calculatedColumnFormula>
    </tableColumn>
    <tableColumn id="18" xr3:uid="{852785D5-0977-BD40-ACDF-B626A3198531}" name="Bagging" dataDxfId="90" dataCellStyle="Currency">
      <calculatedColumnFormula>IFERROR(VLOOKUP(ProductCost[[#This Row],[Bagging Process]],$W$11:$Y$20,3,FALSE),0)</calculatedColumnFormula>
    </tableColumn>
    <tableColumn id="14" xr3:uid="{46A3783A-DE1E-4C34-BDF2-08623A48655E}" name="Cracking" dataDxfId="89">
      <calculatedColumnFormula>IF(ISNUMBER(SEARCH("Cracked",C5)),$Y$8,0)</calculatedColumnFormula>
    </tableColumn>
    <tableColumn id="15" xr3:uid="{682C493E-3163-496B-AD97-5FCF7FD3CC20}" name="Bag Cost" dataDxfId="88">
      <calculatedColumnFormula>IF(A5="Peckish",$X$28,IF(E5="1.5 kg",$X$27,IF(F5= "No bag",0,IF(E5="Standard",$X$24,$X$25/G5)+IF(F5="Yes",-$X$26,0))))</calculatedColumnFormula>
    </tableColumn>
    <tableColumn id="16" xr3:uid="{85744CEF-0BE7-4663-87EB-215345090820}" name="Freight Cost" dataDxfId="87">
      <calculatedColumnFormula>IF(A5="Peckish",$X$36/H5,IF(A5="Hay &amp; Straw",$X$37/H5,IF(OR(E5="Standard",E5="Per Unit"),$X$35/H5,IF(E5="Bulka",$X$35/G5,$X$35/1000*G5))))</calculatedColumnFormula>
    </tableColumn>
    <tableColumn id="17" xr3:uid="{19AEAB45-48D0-4060-A385-A13F773E0723}" name="Finished Product Delivered" dataDxfId="86" dataCellStyle="Currency">
      <calculatedColumnFormula>IF(E5="Standard",SUM(L5:O5)*G5+SUM(P5:Q5),IF(OR(E5="Bulka",E5="Per Unit"),SUM(L5:Q5),(SUM(L5:O5)*G5+SUM(P5:Q5))*8))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8C7A47-C1B2-4C38-8C0A-2B8CEF40F6B1}" name="StraightGrain" displayName="StraightGrain" ref="A2:H67" totalsRowShown="0" headerRowDxfId="85" headerRowBorderDxfId="84" tableBorderDxfId="83" totalsRowBorderDxfId="82">
  <autoFilter ref="A2:H67" xr:uid="{8C8C7A47-C1B2-4C38-8C0A-2B8CEF40F6B1}"/>
  <tableColumns count="8">
    <tableColumn id="1" xr3:uid="{0D5E39FA-D629-41EA-8544-B75C196DBCA7}" name="Raw Materials" dataDxfId="81"/>
    <tableColumn id="2" xr3:uid="{A1AF8E33-57A0-48B1-96B0-5596B6449573}" name="Market Value Uncleaned Grain  " dataDxfId="80" dataCellStyle="Currency"/>
    <tableColumn id="3" xr3:uid="{908C2E0A-E397-4A6C-AE7F-052B0929E324}" name="Unit of Measure" dataDxfId="79"/>
    <tableColumn id="4" xr3:uid="{712239F3-FEE4-414C-B85F-500DA65FA1D6}" name="Kg per unit of measure" dataDxfId="78"/>
    <tableColumn id="5" xr3:uid="{130D5401-3F56-4002-BF02-AAF40670FFCE}" name="Waste_x000a_% of Loss" dataDxfId="77"/>
    <tableColumn id="6" xr3:uid="{9E1A022B-C626-4817-ADD3-CADC19399E4A}" name="Loss" dataDxfId="76"/>
    <tableColumn id="7" xr3:uid="{7A5A6963-E554-4508-9381-50D8F51D2EC0}" name="Cost per Unit of Measure" dataDxfId="75"/>
    <tableColumn id="8" xr3:uid="{968F5BAE-362F-4E4E-A5EA-C0CE86A50560}" name="Cost per Kg" dataDxfId="7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1E4B0A6-3BCC-4E24-8622-80D65929E99B}" name="AllMix" displayName="AllMix" ref="A1:BK85" totalsRowShown="0" headerRowDxfId="73" dataDxfId="71" headerRowBorderDxfId="72" tableBorderDxfId="70" totalsRowBorderDxfId="69">
  <autoFilter ref="A1:BK85" xr:uid="{E1E4B0A6-3BCC-4E24-8622-80D65929E99B}"/>
  <tableColumns count="63">
    <tableColumn id="1" xr3:uid="{97676E1D-7F40-4B54-AA31-3073CDD510EE}" name="Client" dataDxfId="68"/>
    <tableColumn id="2" xr3:uid="{54EAE2F6-F2C7-4BDF-A868-1FC35D396E07}" name="Product" dataDxfId="67"/>
    <tableColumn id="63" xr3:uid="{DB58E461-53E8-4E17-8CA3-9864CCAB1233}" name="Total KGs per mix" dataDxfId="66" dataCellStyle="Comma">
      <calculatedColumnFormula>SUM(AllMix[[#This Row],[Black Sunflowers]:[Canary Mix]])</calculatedColumnFormula>
    </tableColumn>
    <tableColumn id="3" xr3:uid="{87D9B5EA-5540-4AF6-979C-DB154675837C}" name="Black Sunflowers" dataDxfId="65"/>
    <tableColumn id="38" xr3:uid="{7147BA05-6EEB-4EEE-AC7D-35E4642A2CF6}" name="Canola Oil" dataDxfId="64"/>
    <tableColumn id="4" xr3:uid="{04ABB633-F21D-4B12-AC7C-BD383C0968BA}" name="Canola" dataDxfId="63"/>
    <tableColumn id="5" xr3:uid="{46DCF8B9-1130-43AF-9024-428881E9B1D8}" name="Grey Sunflowers" dataDxfId="62"/>
    <tableColumn id="6" xr3:uid="{67B89FC5-C964-4B19-A0E1-67C76B9AEBC3}" name="Hulled Oats" dataDxfId="61"/>
    <tableColumn id="7" xr3:uid="{6E2B5FD4-EF31-4061-A799-EFB9F7230AB6}" name="Linseed" dataDxfId="60"/>
    <tableColumn id="8" xr3:uid="{115D8679-B6BA-49AE-89C7-9CA0E7B3876C}" name="Maize" dataDxfId="59"/>
    <tableColumn id="9" xr3:uid="{CA7A6360-CFF7-4ECF-9495-F9742F11561F}" name="Cleaned Oats" dataDxfId="58"/>
    <tableColumn id="62" xr3:uid="{4979552D-2E1B-4772-9A75-F59052DAF20E}" name="Uncleaned Oats" dataDxfId="57"/>
    <tableColumn id="10" xr3:uid="{F62D18B2-FB8C-4A89-B3ED-3EC0A8A77993}" name="Pano" dataDxfId="56"/>
    <tableColumn id="11" xr3:uid="{E716E399-5B4B-4EF9-810C-D34118BDB949}" name="Peas" dataDxfId="55"/>
    <tableColumn id="12" xr3:uid="{BE87F14D-892C-4250-B894-3AC775BF36C9}" name="Plain Canary" dataDxfId="54"/>
    <tableColumn id="13" xr3:uid="{65A97E7F-4A8E-4E91-BE07-BDD170617EEF}" name="Popcorn" dataDxfId="53"/>
    <tableColumn id="14" xr3:uid="{35DE32FF-DDE3-447E-9C7B-55486A9CD2F4}" name="Safflower" dataDxfId="52"/>
    <tableColumn id="15" xr3:uid="{BF2412BC-072B-4486-A2F9-1F4E174AC466}" name="Sorghum" dataDxfId="51"/>
    <tableColumn id="16" xr3:uid="{7629434B-6394-4253-B384-8F50231D5854}" name="Vetch" dataDxfId="50"/>
    <tableColumn id="17" xr3:uid="{6DAB2A0A-F411-4BD5-A08A-64EE5D1F22E7}" name="Wheat" dataDxfId="49"/>
    <tableColumn id="18" xr3:uid="{985B0F13-6CE2-444D-A4A1-210BC3760888}" name="White French Millet" dataDxfId="48"/>
    <tableColumn id="19" xr3:uid="{D051015F-61B7-4D6F-AE33-C025A63E7286}" name="Barley" dataDxfId="47"/>
    <tableColumn id="21" xr3:uid="{81377666-9D97-40B8-ABDA-1016337C8F42}" name="Brown Rice" dataDxfId="46"/>
    <tableColumn id="22" xr3:uid="{FE0B5234-4518-4553-8A75-0A59C8070294}" name="Hard Wheat" dataDxfId="45"/>
    <tableColumn id="23" xr3:uid="{E26C64AE-444C-4B7E-94FB-4AC5D3165594}" name="Mung Beans" dataDxfId="44"/>
    <tableColumn id="24" xr3:uid="{6E2BE87E-D935-4125-8FFC-36B80B5203B1}" name="Cracked Maize 20kg" dataDxfId="43"/>
    <tableColumn id="25" xr3:uid="{03B13099-909F-4F34-9AE4-58E835E9CD53}" name="Canola Meal" dataDxfId="42"/>
    <tableColumn id="26" xr3:uid="{89BFDDE3-4EE0-4B09-A355-1019E5210BD9}" name="Cracked Lupins Cleaned and Graded 20kg" dataDxfId="41"/>
    <tableColumn id="27" xr3:uid="{E2573335-6B03-478C-BA3A-4388600D024B}" name="Dicalicium Phosphate" dataDxfId="40"/>
    <tableColumn id="28" xr3:uid="{4D932C74-8C63-40A1-8DBB-B3A937701231}" name="Medium Shell Grit" dataDxfId="39"/>
    <tableColumn id="29" xr3:uid="{8ED5F963-0DD5-4E5E-9062-EE12F1D282ED}" name="Molafos" dataDxfId="38"/>
    <tableColumn id="30" xr3:uid="{C4B1E42F-A9C7-46D2-AD39-38634FDCDE7B}" name="Premuim Layer Premix" dataDxfId="37"/>
    <tableColumn id="31" xr3:uid="{7B70AB3F-3523-4610-B32C-2B51510C87D8}" name="Rabbit Pellets" dataDxfId="36"/>
    <tableColumn id="32" xr3:uid="{F3E474F9-F898-48D8-8DDE-22616F54D80C}" name="Salt" dataDxfId="35"/>
    <tableColumn id="33" xr3:uid="{8BD72011-740C-46D0-A045-C02A577B046F}" name="Limestone" dataDxfId="34"/>
    <tableColumn id="34" xr3:uid="{A9323823-1870-4BC5-9DCC-AD037764FB39}" name="Layer Protein Pellets" dataDxfId="33"/>
    <tableColumn id="20" xr3:uid="{175ACDD0-7CB5-4397-8ADB-637F1480A19C}" name="Breeder Pre Mix" dataDxfId="32"/>
    <tableColumn id="37" xr3:uid="{89788C2E-CA9A-44F7-A475-E54C61CA4B80}" name="Last bag of pigeon mix" dataDxfId="31"/>
    <tableColumn id="39" xr3:uid="{CE02D0F1-E25B-4ADF-82E0-53AD05812E51}" name="Steamed &amp; Rolled Barley" dataDxfId="30"/>
    <tableColumn id="40" xr3:uid="{AEB41FC8-DA53-4FBE-A9CC-718DD0C3561E}" name="Steamed &amp; Rolled Maize" dataDxfId="29"/>
    <tableColumn id="41" xr3:uid="{9C83A363-516C-464A-949D-C8620EC6DA1E}" name="Steamed &amp; Rolled Lupins" dataDxfId="28"/>
    <tableColumn id="42" xr3:uid="{65CAF25E-4C53-4CA8-BBE6-D8187E501B63}" name="Lucerne Chaff" dataDxfId="27"/>
    <tableColumn id="43" xr3:uid="{A673A1BA-982F-45B1-9EED-142CA0B7B884}" name="Oaten Chaff" dataDxfId="26"/>
    <tableColumn id="44" xr3:uid="{C00D9703-97D4-46A1-81FD-8FCA2B7225FA}" name="All Phase" dataDxfId="25"/>
    <tableColumn id="45" xr3:uid="{A1648EBF-6035-4CE6-8CAC-3B0DDFE2A99C}" name="Breed n Grow BMC" dataDxfId="24"/>
    <tableColumn id="46" xr3:uid="{2DA29860-5AD4-4375-8152-ABCC7D94BA6D}" name="Calm Performer" dataDxfId="23"/>
    <tableColumn id="47" xr3:uid="{0CF434D8-3F81-4CA5-86B8-8066665223DC}" name="Stud Balancer" dataDxfId="22"/>
    <tableColumn id="48" xr3:uid="{421F84A9-DAE0-4617-B17C-28CD0B33B495}" name="Synergy" dataDxfId="21"/>
    <tableColumn id="49" xr3:uid="{CE2C1AC3-05B3-4DA7-9241-FE6E68DEAA09}" name="Equijewel" dataDxfId="20"/>
    <tableColumn id="50" xr3:uid="{D05A7ABB-BB1B-4140-AF96-0D4B7367AB42}" name="KER Gold" dataDxfId="19"/>
    <tableColumn id="51" xr3:uid="{0B1CF6F7-CF54-4215-8B87-AB4CDB9CD587}" name="Fibre Phase" dataDxfId="18"/>
    <tableColumn id="52" xr3:uid="{76E03966-7A2F-4F0F-A45B-D11C2DF473CE}" name="Lucerne Pellet" dataDxfId="17"/>
    <tableColumn id="53" xr3:uid="{7603A425-A9E6-4646-AE5A-540BC230D023}" name="Bran" dataDxfId="16"/>
    <tableColumn id="54" xr3:uid="{FB4F3337-DEEB-4033-886B-F5BFF3622C7E}" name="Pollard" dataDxfId="15"/>
    <tableColumn id="55" xr3:uid="{31DA2BB9-6DC4-48C5-BA0A-5A1112445E2F}" name="Preserve" dataDxfId="14"/>
    <tableColumn id="56" xr3:uid="{405E59A8-F335-471D-BD3D-98DD35100EE3}" name="Restore" dataDxfId="13"/>
    <tableColumn id="57" xr3:uid="{D67A395E-242F-458C-8248-3242C72D0279}" name="EO3 Oil" dataDxfId="12"/>
    <tableColumn id="58" xr3:uid="{A854F025-8A23-4329-8A87-01E062C02335}" name="Acid Buf" dataDxfId="11"/>
    <tableColumn id="59" xr3:uid="{996968FC-FEFD-4B44-9056-90562F4A0473}" name="Triaction" dataDxfId="10"/>
    <tableColumn id="60" xr3:uid="{347B12B9-CF07-4856-A80B-7A90DB308F46}" name="Apple Flavouring" dataDxfId="9"/>
    <tableColumn id="61" xr3:uid="{4A972D6C-F192-460F-A40C-4DED94496703}" name="Mould Inhibitor" dataDxfId="8"/>
    <tableColumn id="36" xr3:uid="{2A84C8C3-59D9-4CC9-AFCE-15518B1DCFE0}" name="Lupins" dataDxfId="7"/>
    <tableColumn id="35" xr3:uid="{B64157E8-56EB-4FAF-9C67-BD53AFFACF7A}" name="Canary Mix" dataDxfId="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C044-D640-4AE4-B57E-AD3443DEB771}">
  <sheetPr codeName="Sheet1" filterMode="1"/>
  <dimension ref="A1:S257"/>
  <sheetViews>
    <sheetView workbookViewId="0">
      <selection activeCell="C273" sqref="C273"/>
    </sheetView>
  </sheetViews>
  <sheetFormatPr defaultColWidth="9.109375" defaultRowHeight="13.8" x14ac:dyDescent="0.25"/>
  <cols>
    <col min="1" max="1" width="13.44140625" style="1" customWidth="1"/>
    <col min="2" max="2" width="13.44140625" style="6" customWidth="1"/>
    <col min="3" max="3" width="66" style="1" bestFit="1" customWidth="1"/>
    <col min="4" max="4" width="61.44140625" style="1" bestFit="1" customWidth="1"/>
    <col min="5" max="5" width="21.44140625" style="1" customWidth="1"/>
    <col min="6" max="6" width="36.109375" style="1" customWidth="1"/>
    <col min="7" max="7" width="19.44140625" style="1" customWidth="1"/>
    <col min="8" max="8" width="20.44140625" style="1" bestFit="1" customWidth="1"/>
    <col min="9" max="9" width="19.44140625" style="1" bestFit="1" customWidth="1"/>
    <col min="10" max="10" width="6.44140625" style="1" bestFit="1" customWidth="1"/>
    <col min="11" max="16" width="9.109375" style="1"/>
    <col min="17" max="17" width="9.109375" style="1" bestFit="1" customWidth="1"/>
    <col min="18" max="18" width="8.44140625" style="1" bestFit="1" customWidth="1"/>
    <col min="19" max="19" width="6" style="60" bestFit="1" customWidth="1"/>
    <col min="20" max="16384" width="9.109375" style="1"/>
  </cols>
  <sheetData>
    <row r="1" spans="1:19" x14ac:dyDescent="0.25">
      <c r="A1" s="1" t="s">
        <v>0</v>
      </c>
      <c r="B1" s="6"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60" t="s">
        <v>18</v>
      </c>
    </row>
    <row r="2" spans="1:19" hidden="1" x14ac:dyDescent="0.25">
      <c r="A2" s="1" t="e">
        <f>VLOOKUP(B2,'Product Cost - Price'!$B$5:$B$223,1,FALSE)</f>
        <v>#N/A</v>
      </c>
      <c r="B2" s="9">
        <v>380865</v>
      </c>
      <c r="C2" s="7" t="s">
        <v>19</v>
      </c>
      <c r="D2" s="7" t="s">
        <v>20</v>
      </c>
      <c r="E2" s="7" t="s">
        <v>21</v>
      </c>
      <c r="F2" s="7" t="s">
        <v>22</v>
      </c>
      <c r="G2" s="7">
        <v>3.3</v>
      </c>
      <c r="H2" s="7">
        <v>0</v>
      </c>
      <c r="I2" s="7">
        <v>0</v>
      </c>
      <c r="J2" s="7">
        <v>0</v>
      </c>
      <c r="K2" s="7" t="s">
        <v>23</v>
      </c>
      <c r="L2" s="7" t="s">
        <v>23</v>
      </c>
      <c r="M2" s="7">
        <v>0</v>
      </c>
      <c r="N2" s="7" t="s">
        <v>23</v>
      </c>
      <c r="O2" s="7"/>
      <c r="P2" s="7"/>
      <c r="Q2" s="7"/>
      <c r="R2" s="7"/>
      <c r="S2" s="7">
        <v>0</v>
      </c>
    </row>
    <row r="3" spans="1:19" hidden="1" x14ac:dyDescent="0.25">
      <c r="A3" s="1" t="e">
        <f>VLOOKUP(B3,'Product Cost - Price'!$B$5:$B$223,1,FALSE)</f>
        <v>#N/A</v>
      </c>
      <c r="B3" s="9">
        <v>380866</v>
      </c>
      <c r="C3" s="7" t="s">
        <v>24</v>
      </c>
      <c r="D3" s="7" t="s">
        <v>25</v>
      </c>
      <c r="E3" s="7" t="s">
        <v>21</v>
      </c>
      <c r="F3" s="7" t="s">
        <v>26</v>
      </c>
      <c r="G3" s="7">
        <v>3.3</v>
      </c>
      <c r="H3" s="7">
        <v>0</v>
      </c>
      <c r="I3" s="7">
        <v>0</v>
      </c>
      <c r="J3" s="7">
        <v>0</v>
      </c>
      <c r="K3" s="7" t="s">
        <v>23</v>
      </c>
      <c r="L3" s="7" t="s">
        <v>23</v>
      </c>
      <c r="M3" s="7">
        <v>0</v>
      </c>
      <c r="N3" s="7" t="s">
        <v>23</v>
      </c>
      <c r="O3" s="7"/>
      <c r="P3" s="7"/>
      <c r="Q3" s="7"/>
      <c r="R3" s="7"/>
      <c r="S3" s="7">
        <v>0</v>
      </c>
    </row>
    <row r="4" spans="1:19" hidden="1" x14ac:dyDescent="0.25">
      <c r="A4" s="1">
        <f>VLOOKUP(B4,'Product Cost - Price'!$B$5:$B$223,1,FALSE)</f>
        <v>383792</v>
      </c>
      <c r="B4" s="182">
        <v>383792</v>
      </c>
      <c r="C4" s="44" t="s">
        <v>27</v>
      </c>
      <c r="D4" s="1" t="s">
        <v>28</v>
      </c>
      <c r="E4" s="1" t="s">
        <v>29</v>
      </c>
      <c r="F4" s="1" t="s">
        <v>30</v>
      </c>
      <c r="G4" s="1">
        <v>21.9</v>
      </c>
      <c r="H4" s="1">
        <v>20.36</v>
      </c>
      <c r="I4" s="1">
        <v>32.75</v>
      </c>
      <c r="J4" s="1">
        <v>0</v>
      </c>
      <c r="K4" s="1" t="s">
        <v>23</v>
      </c>
      <c r="L4" s="1" t="s">
        <v>23</v>
      </c>
      <c r="M4" s="1">
        <v>20</v>
      </c>
      <c r="N4" s="1" t="s">
        <v>31</v>
      </c>
      <c r="S4" s="1">
        <v>14.5</v>
      </c>
    </row>
    <row r="5" spans="1:19" hidden="1" x14ac:dyDescent="0.25">
      <c r="A5" s="1">
        <f>VLOOKUP(B5,'Product Cost - Price'!$B$5:$B$223,1,FALSE)</f>
        <v>383793</v>
      </c>
      <c r="B5" s="182">
        <v>383793</v>
      </c>
      <c r="C5" s="44" t="s">
        <v>32</v>
      </c>
      <c r="D5" s="1" t="s">
        <v>33</v>
      </c>
      <c r="E5" s="1" t="s">
        <v>29</v>
      </c>
      <c r="F5" s="1" t="s">
        <v>34</v>
      </c>
      <c r="G5" s="1">
        <v>34.1</v>
      </c>
      <c r="H5" s="1">
        <v>31.75</v>
      </c>
      <c r="I5" s="1">
        <v>51.1</v>
      </c>
      <c r="J5" s="1">
        <v>0</v>
      </c>
      <c r="K5" s="1" t="s">
        <v>23</v>
      </c>
      <c r="L5" s="1" t="s">
        <v>23</v>
      </c>
      <c r="M5" s="1">
        <v>20</v>
      </c>
      <c r="N5" s="1" t="s">
        <v>31</v>
      </c>
      <c r="S5" s="1">
        <v>23.7</v>
      </c>
    </row>
    <row r="6" spans="1:19" hidden="1" x14ac:dyDescent="0.25">
      <c r="A6" s="1">
        <f>VLOOKUP(B6,'Product Cost - Price'!$B$5:$B$223,1,FALSE)</f>
        <v>383794</v>
      </c>
      <c r="B6" s="182">
        <v>383794</v>
      </c>
      <c r="C6" s="44" t="s">
        <v>35</v>
      </c>
      <c r="D6" s="1" t="s">
        <v>36</v>
      </c>
      <c r="E6" s="1" t="s">
        <v>29</v>
      </c>
      <c r="F6" s="1" t="s">
        <v>35</v>
      </c>
      <c r="G6" s="1">
        <v>16</v>
      </c>
      <c r="H6" s="1">
        <v>14.84</v>
      </c>
      <c r="I6" s="1">
        <v>29.85</v>
      </c>
      <c r="J6" s="1">
        <v>0</v>
      </c>
      <c r="K6" s="1" t="s">
        <v>23</v>
      </c>
      <c r="L6" s="1" t="s">
        <v>23</v>
      </c>
      <c r="M6" s="1">
        <v>20</v>
      </c>
      <c r="N6" s="1" t="s">
        <v>31</v>
      </c>
      <c r="S6" s="1">
        <v>11.9</v>
      </c>
    </row>
    <row r="7" spans="1:19" hidden="1" x14ac:dyDescent="0.25">
      <c r="A7" s="1">
        <f>VLOOKUP(B7,'Product Cost - Price'!$B$5:$B$223,1,FALSE)</f>
        <v>383798</v>
      </c>
      <c r="B7" s="182">
        <v>383798</v>
      </c>
      <c r="C7" s="44" t="s">
        <v>37</v>
      </c>
      <c r="D7" s="1" t="s">
        <v>38</v>
      </c>
      <c r="E7" s="1" t="s">
        <v>29</v>
      </c>
      <c r="F7" s="1" t="s">
        <v>39</v>
      </c>
      <c r="G7" s="1">
        <v>19.100000000000001</v>
      </c>
      <c r="H7" s="1">
        <v>17.75</v>
      </c>
      <c r="I7" s="1">
        <v>34.5</v>
      </c>
      <c r="J7" s="1">
        <v>0</v>
      </c>
      <c r="K7" s="1" t="s">
        <v>23</v>
      </c>
      <c r="L7" s="1" t="s">
        <v>23</v>
      </c>
      <c r="M7" s="1">
        <v>20</v>
      </c>
      <c r="N7" s="1" t="s">
        <v>31</v>
      </c>
      <c r="S7" s="1">
        <v>15.6</v>
      </c>
    </row>
    <row r="8" spans="1:19" hidden="1" x14ac:dyDescent="0.25">
      <c r="A8" s="1">
        <f>VLOOKUP(B8,'Product Cost - Price'!$B$5:$B$223,1,FALSE)</f>
        <v>383810</v>
      </c>
      <c r="B8" s="182">
        <v>383810</v>
      </c>
      <c r="C8" s="44" t="s">
        <v>40</v>
      </c>
      <c r="D8" s="1" t="s">
        <v>41</v>
      </c>
      <c r="E8" s="1" t="s">
        <v>42</v>
      </c>
      <c r="F8" s="1" t="s">
        <v>43</v>
      </c>
      <c r="G8" s="67">
        <v>24.5</v>
      </c>
      <c r="H8" s="1">
        <v>21.73</v>
      </c>
      <c r="I8" s="1">
        <v>37.15</v>
      </c>
      <c r="J8" s="1">
        <v>0</v>
      </c>
      <c r="K8" s="1" t="s">
        <v>23</v>
      </c>
      <c r="L8" s="1" t="s">
        <v>23</v>
      </c>
      <c r="M8" s="1">
        <v>20</v>
      </c>
      <c r="N8" s="1" t="s">
        <v>31</v>
      </c>
      <c r="S8" s="1">
        <v>0</v>
      </c>
    </row>
    <row r="9" spans="1:19" s="7" customFormat="1" hidden="1" x14ac:dyDescent="0.25">
      <c r="A9" s="1">
        <f>VLOOKUP(B9,'Product Cost - Price'!$B$5:$B$223,1,FALSE)</f>
        <v>383811</v>
      </c>
      <c r="B9" s="182">
        <v>383811</v>
      </c>
      <c r="C9" s="44" t="s">
        <v>44</v>
      </c>
      <c r="D9" s="1" t="s">
        <v>45</v>
      </c>
      <c r="E9" s="1" t="s">
        <v>42</v>
      </c>
      <c r="F9" s="1" t="s">
        <v>43</v>
      </c>
      <c r="G9" s="67">
        <v>25.5</v>
      </c>
      <c r="H9" s="1">
        <v>22.64</v>
      </c>
      <c r="I9" s="1">
        <v>38.5</v>
      </c>
      <c r="J9" s="1">
        <v>0</v>
      </c>
      <c r="K9" s="1" t="s">
        <v>23</v>
      </c>
      <c r="L9" s="1" t="s">
        <v>23</v>
      </c>
      <c r="M9" s="1">
        <v>20</v>
      </c>
      <c r="N9" s="1" t="s">
        <v>31</v>
      </c>
      <c r="O9" s="1"/>
      <c r="P9" s="1"/>
      <c r="Q9" s="1"/>
      <c r="R9" s="1"/>
      <c r="S9" s="1">
        <v>0</v>
      </c>
    </row>
    <row r="10" spans="1:19" s="7" customFormat="1" hidden="1" x14ac:dyDescent="0.25">
      <c r="A10" s="1">
        <f>VLOOKUP(B10,'Product Cost - Price'!$B$5:$B$223,1,FALSE)</f>
        <v>383812</v>
      </c>
      <c r="B10" s="182">
        <v>383812</v>
      </c>
      <c r="C10" s="44" t="s">
        <v>46</v>
      </c>
      <c r="D10" s="1" t="s">
        <v>47</v>
      </c>
      <c r="E10" s="1" t="s">
        <v>42</v>
      </c>
      <c r="F10" s="1" t="s">
        <v>48</v>
      </c>
      <c r="G10" s="67">
        <v>28.4</v>
      </c>
      <c r="H10" s="1">
        <v>25.21</v>
      </c>
      <c r="I10" s="1">
        <v>42.2</v>
      </c>
      <c r="J10" s="1">
        <v>0</v>
      </c>
      <c r="K10" s="1" t="s">
        <v>23</v>
      </c>
      <c r="L10" s="1" t="s">
        <v>23</v>
      </c>
      <c r="M10" s="1">
        <v>20</v>
      </c>
      <c r="N10" s="1" t="s">
        <v>31</v>
      </c>
      <c r="O10" s="1"/>
      <c r="P10" s="1"/>
      <c r="Q10" s="1"/>
      <c r="R10" s="1"/>
      <c r="S10" s="1">
        <v>0</v>
      </c>
    </row>
    <row r="11" spans="1:19" hidden="1" x14ac:dyDescent="0.25">
      <c r="A11" s="1">
        <f>VLOOKUP(B11,'Product Cost - Price'!$B$5:$B$223,1,FALSE)</f>
        <v>383815</v>
      </c>
      <c r="B11" s="186">
        <v>383815</v>
      </c>
      <c r="C11" s="1" t="s">
        <v>49</v>
      </c>
      <c r="D11" s="1" t="s">
        <v>49</v>
      </c>
      <c r="E11" s="1" t="s">
        <v>50</v>
      </c>
      <c r="F11" s="1" t="s">
        <v>51</v>
      </c>
      <c r="G11" s="67">
        <v>21.1</v>
      </c>
      <c r="H11" s="1">
        <v>0</v>
      </c>
      <c r="I11" s="1">
        <v>0</v>
      </c>
      <c r="J11" s="1">
        <v>0</v>
      </c>
      <c r="K11" s="1" t="s">
        <v>23</v>
      </c>
      <c r="L11" s="1" t="s">
        <v>23</v>
      </c>
      <c r="M11" s="1">
        <v>0</v>
      </c>
      <c r="N11" s="1" t="s">
        <v>31</v>
      </c>
      <c r="S11" s="1">
        <v>0</v>
      </c>
    </row>
    <row r="12" spans="1:19" hidden="1" x14ac:dyDescent="0.25">
      <c r="A12" s="1" t="e">
        <f>VLOOKUP(B12,'Product Cost - Price'!$B$5:$B$223,1,FALSE)</f>
        <v>#N/A</v>
      </c>
      <c r="B12" s="9">
        <v>383817</v>
      </c>
      <c r="C12" s="7" t="s">
        <v>52</v>
      </c>
      <c r="D12" s="7" t="s">
        <v>52</v>
      </c>
      <c r="E12" s="7" t="s">
        <v>50</v>
      </c>
      <c r="F12" s="7" t="s">
        <v>53</v>
      </c>
      <c r="G12" s="121">
        <v>19.8</v>
      </c>
      <c r="H12" s="7">
        <v>0</v>
      </c>
      <c r="I12" s="7">
        <v>0</v>
      </c>
      <c r="J12" s="7">
        <v>0</v>
      </c>
      <c r="K12" s="7" t="s">
        <v>23</v>
      </c>
      <c r="L12" s="7" t="s">
        <v>23</v>
      </c>
      <c r="M12" s="7">
        <v>0</v>
      </c>
      <c r="N12" s="7" t="s">
        <v>23</v>
      </c>
      <c r="O12" s="7"/>
      <c r="P12" s="7"/>
      <c r="Q12" s="7"/>
      <c r="R12" s="7"/>
      <c r="S12" s="7">
        <v>0</v>
      </c>
    </row>
    <row r="13" spans="1:19" hidden="1" x14ac:dyDescent="0.25">
      <c r="A13" s="1" t="e">
        <f>VLOOKUP(B13,'Product Cost - Price'!$B$5:$B$223,1,FALSE)</f>
        <v>#N/A</v>
      </c>
      <c r="B13" s="9">
        <v>383818</v>
      </c>
      <c r="C13" s="7" t="s">
        <v>54</v>
      </c>
      <c r="D13" s="7" t="s">
        <v>54</v>
      </c>
      <c r="E13" s="7" t="s">
        <v>50</v>
      </c>
      <c r="F13" s="7" t="s">
        <v>55</v>
      </c>
      <c r="G13" s="121">
        <v>27.9</v>
      </c>
      <c r="H13" s="7">
        <v>0</v>
      </c>
      <c r="I13" s="7">
        <v>0</v>
      </c>
      <c r="J13" s="7">
        <v>0</v>
      </c>
      <c r="K13" s="7" t="s">
        <v>23</v>
      </c>
      <c r="L13" s="7" t="s">
        <v>23</v>
      </c>
      <c r="M13" s="7">
        <v>0</v>
      </c>
      <c r="N13" s="7" t="s">
        <v>23</v>
      </c>
      <c r="O13" s="7"/>
      <c r="P13" s="7"/>
      <c r="Q13" s="7"/>
      <c r="R13" s="7"/>
      <c r="S13" s="7">
        <v>0</v>
      </c>
    </row>
    <row r="14" spans="1:19" hidden="1" x14ac:dyDescent="0.25">
      <c r="A14" s="1" t="e">
        <f>VLOOKUP(B14,'Product Cost - Price'!$B$5:$B$223,1,FALSE)</f>
        <v>#N/A</v>
      </c>
      <c r="B14" s="9">
        <v>391639</v>
      </c>
      <c r="C14" s="7" t="s">
        <v>56</v>
      </c>
      <c r="D14" s="7" t="s">
        <v>57</v>
      </c>
      <c r="E14" s="7" t="s">
        <v>21</v>
      </c>
      <c r="F14" s="7" t="s">
        <v>58</v>
      </c>
      <c r="G14" s="121">
        <v>0</v>
      </c>
      <c r="H14" s="7">
        <v>0</v>
      </c>
      <c r="I14" s="7">
        <v>0</v>
      </c>
      <c r="J14" s="7">
        <v>0</v>
      </c>
      <c r="K14" s="7" t="s">
        <v>23</v>
      </c>
      <c r="L14" s="7" t="s">
        <v>23</v>
      </c>
      <c r="M14" s="7">
        <v>0</v>
      </c>
      <c r="N14" s="7" t="s">
        <v>23</v>
      </c>
      <c r="O14" s="7"/>
      <c r="P14" s="7"/>
      <c r="Q14" s="7"/>
      <c r="R14" s="7"/>
      <c r="S14" s="7">
        <v>0</v>
      </c>
    </row>
    <row r="15" spans="1:19" hidden="1" x14ac:dyDescent="0.25">
      <c r="A15" s="1" t="e">
        <f>VLOOKUP(B15,'Product Cost - Price'!$B$5:$B$223,1,FALSE)</f>
        <v>#N/A</v>
      </c>
      <c r="B15" s="9">
        <v>394593</v>
      </c>
      <c r="C15" s="7" t="s">
        <v>59</v>
      </c>
      <c r="D15" s="1" t="s">
        <v>59</v>
      </c>
      <c r="E15" s="1" t="s">
        <v>29</v>
      </c>
      <c r="F15" s="1" t="s">
        <v>59</v>
      </c>
      <c r="G15" s="67">
        <v>0</v>
      </c>
      <c r="H15" s="1">
        <v>0</v>
      </c>
      <c r="I15" s="1">
        <v>0</v>
      </c>
      <c r="J15" s="1">
        <v>0</v>
      </c>
      <c r="K15" s="1" t="s">
        <v>23</v>
      </c>
      <c r="L15" s="1" t="s">
        <v>23</v>
      </c>
      <c r="M15" s="1">
        <v>20</v>
      </c>
      <c r="N15" s="1" t="s">
        <v>23</v>
      </c>
      <c r="S15" s="1">
        <v>0</v>
      </c>
    </row>
    <row r="16" spans="1:19" hidden="1" x14ac:dyDescent="0.25">
      <c r="A16" s="1">
        <f>VLOOKUP(B16,'Product Cost - Price'!$B$5:$B$223,1,FALSE)</f>
        <v>403935</v>
      </c>
      <c r="B16" s="182">
        <v>403935</v>
      </c>
      <c r="C16" s="44" t="s">
        <v>60</v>
      </c>
      <c r="D16" s="1" t="s">
        <v>60</v>
      </c>
      <c r="E16" s="1" t="s">
        <v>42</v>
      </c>
      <c r="F16" s="1" t="s">
        <v>61</v>
      </c>
      <c r="G16" s="67">
        <v>0</v>
      </c>
      <c r="H16" s="1">
        <v>0</v>
      </c>
      <c r="I16" s="1">
        <v>0</v>
      </c>
      <c r="J16" s="1">
        <v>0</v>
      </c>
      <c r="K16" s="1" t="s">
        <v>23</v>
      </c>
      <c r="L16" s="1" t="s">
        <v>23</v>
      </c>
      <c r="M16" s="1">
        <v>20</v>
      </c>
      <c r="N16" s="1" t="s">
        <v>31</v>
      </c>
      <c r="S16" s="1">
        <v>0</v>
      </c>
    </row>
    <row r="17" spans="1:19" hidden="1" x14ac:dyDescent="0.25">
      <c r="A17" s="1">
        <f>VLOOKUP(B17,'Product Cost - Price'!$B$5:$B$223,1,FALSE)</f>
        <v>404266</v>
      </c>
      <c r="B17" s="182">
        <v>404266</v>
      </c>
      <c r="C17" s="44" t="s">
        <v>62</v>
      </c>
      <c r="D17" s="1" t="s">
        <v>62</v>
      </c>
      <c r="E17" s="1" t="s">
        <v>63</v>
      </c>
      <c r="F17" s="1" t="s">
        <v>62</v>
      </c>
      <c r="G17" s="67">
        <v>0</v>
      </c>
      <c r="H17" s="1">
        <v>17.190000000000001</v>
      </c>
      <c r="I17" s="1">
        <v>0</v>
      </c>
      <c r="J17" s="1">
        <v>0</v>
      </c>
      <c r="K17" s="1" t="s">
        <v>23</v>
      </c>
      <c r="L17" s="1" t="s">
        <v>23</v>
      </c>
      <c r="M17" s="1">
        <v>20</v>
      </c>
      <c r="N17" s="1" t="s">
        <v>31</v>
      </c>
      <c r="S17" s="1">
        <v>0</v>
      </c>
    </row>
    <row r="18" spans="1:19" hidden="1" x14ac:dyDescent="0.25">
      <c r="A18" s="1">
        <f>VLOOKUP(B18,'Product Cost - Price'!$B$5:$B$223,1,FALSE)</f>
        <v>408408</v>
      </c>
      <c r="B18" s="186">
        <v>408408</v>
      </c>
      <c r="C18" s="1" t="s">
        <v>64</v>
      </c>
      <c r="D18" s="1" t="s">
        <v>64</v>
      </c>
      <c r="E18" s="1" t="s">
        <v>65</v>
      </c>
      <c r="F18" s="1" t="s">
        <v>66</v>
      </c>
      <c r="G18" s="67">
        <v>74.3</v>
      </c>
      <c r="H18" s="1">
        <v>69</v>
      </c>
      <c r="I18" s="1">
        <v>0</v>
      </c>
      <c r="J18" s="1">
        <v>0</v>
      </c>
      <c r="K18" s="1" t="s">
        <v>23</v>
      </c>
      <c r="L18" s="1" t="s">
        <v>23</v>
      </c>
      <c r="M18" s="1">
        <v>0</v>
      </c>
      <c r="N18" s="1" t="s">
        <v>23</v>
      </c>
      <c r="S18" s="1">
        <v>0</v>
      </c>
    </row>
    <row r="19" spans="1:19" hidden="1" x14ac:dyDescent="0.25">
      <c r="A19" s="1" t="e">
        <f>VLOOKUP(B19,'Product Cost - Price'!$B$5:$B$223,1,FALSE)</f>
        <v>#N/A</v>
      </c>
      <c r="B19" s="9">
        <v>411756</v>
      </c>
      <c r="C19" s="7" t="s">
        <v>67</v>
      </c>
      <c r="D19" s="7" t="s">
        <v>67</v>
      </c>
      <c r="E19" s="7" t="s">
        <v>29</v>
      </c>
      <c r="F19" s="7" t="s">
        <v>68</v>
      </c>
      <c r="G19" s="121">
        <v>0.19</v>
      </c>
      <c r="H19" s="7">
        <v>0.19</v>
      </c>
      <c r="I19" s="7">
        <v>0.19</v>
      </c>
      <c r="J19" s="7">
        <v>0</v>
      </c>
      <c r="K19" s="7" t="s">
        <v>23</v>
      </c>
      <c r="L19" s="7" t="s">
        <v>23</v>
      </c>
      <c r="M19" s="7">
        <v>0</v>
      </c>
      <c r="N19" s="7" t="s">
        <v>23</v>
      </c>
      <c r="O19" s="7"/>
      <c r="P19" s="7"/>
      <c r="Q19" s="7"/>
      <c r="R19" s="7"/>
      <c r="S19" s="7">
        <v>0</v>
      </c>
    </row>
    <row r="20" spans="1:19" hidden="1" x14ac:dyDescent="0.25">
      <c r="A20" s="1" t="e">
        <f>VLOOKUP(B20,'Product Cost - Price'!$B$5:$B$223,1,FALSE)</f>
        <v>#N/A</v>
      </c>
      <c r="B20" s="9">
        <v>411757</v>
      </c>
      <c r="C20" s="7" t="s">
        <v>69</v>
      </c>
      <c r="D20" s="7" t="s">
        <v>69</v>
      </c>
      <c r="E20" s="7" t="s">
        <v>29</v>
      </c>
      <c r="F20" s="7" t="s">
        <v>70</v>
      </c>
      <c r="G20" s="121">
        <v>0.19</v>
      </c>
      <c r="H20" s="7">
        <v>0.19</v>
      </c>
      <c r="I20" s="7">
        <v>0.19</v>
      </c>
      <c r="J20" s="7">
        <v>0</v>
      </c>
      <c r="K20" s="7" t="s">
        <v>23</v>
      </c>
      <c r="L20" s="7" t="s">
        <v>23</v>
      </c>
      <c r="M20" s="7">
        <v>0</v>
      </c>
      <c r="N20" s="7" t="s">
        <v>23</v>
      </c>
      <c r="O20" s="7"/>
      <c r="P20" s="7"/>
      <c r="Q20" s="7"/>
      <c r="R20" s="7"/>
      <c r="S20" s="7">
        <v>0</v>
      </c>
    </row>
    <row r="21" spans="1:19" hidden="1" x14ac:dyDescent="0.25">
      <c r="A21" s="1" t="e">
        <f>VLOOKUP(B21,'Product Cost - Price'!$B$5:$B$223,1,FALSE)</f>
        <v>#N/A</v>
      </c>
      <c r="B21" s="9">
        <v>455323</v>
      </c>
      <c r="C21" s="7" t="s">
        <v>71</v>
      </c>
      <c r="D21" s="7" t="s">
        <v>71</v>
      </c>
      <c r="E21" s="7" t="s">
        <v>29</v>
      </c>
      <c r="F21" s="7" t="s">
        <v>72</v>
      </c>
      <c r="G21" s="121">
        <v>0</v>
      </c>
      <c r="H21" s="7">
        <v>0</v>
      </c>
      <c r="I21" s="7">
        <v>0</v>
      </c>
      <c r="J21" s="7">
        <v>0</v>
      </c>
      <c r="K21" s="7" t="s">
        <v>23</v>
      </c>
      <c r="L21" s="7" t="s">
        <v>23</v>
      </c>
      <c r="M21" s="7">
        <v>25</v>
      </c>
      <c r="N21" s="7" t="s">
        <v>23</v>
      </c>
      <c r="O21" s="7"/>
      <c r="P21" s="7"/>
      <c r="Q21" s="7"/>
      <c r="R21" s="7"/>
      <c r="S21" s="7">
        <v>0</v>
      </c>
    </row>
    <row r="22" spans="1:19" hidden="1" x14ac:dyDescent="0.25">
      <c r="A22" s="1">
        <f>VLOOKUP(B22,'Product Cost - Price'!$B$5:$B$223,1,FALSE)</f>
        <v>458163</v>
      </c>
      <c r="B22" s="186">
        <v>458163</v>
      </c>
      <c r="C22" s="44" t="s">
        <v>73</v>
      </c>
      <c r="D22" s="1" t="s">
        <v>74</v>
      </c>
      <c r="E22" s="1" t="s">
        <v>21</v>
      </c>
      <c r="F22" s="1" t="s">
        <v>75</v>
      </c>
      <c r="G22" s="67">
        <v>12.4</v>
      </c>
      <c r="H22" s="1">
        <v>10.35</v>
      </c>
      <c r="I22" s="1">
        <v>0</v>
      </c>
      <c r="J22" s="1">
        <v>0</v>
      </c>
      <c r="K22" s="1" t="s">
        <v>23</v>
      </c>
      <c r="L22" s="1" t="s">
        <v>23</v>
      </c>
      <c r="M22" s="1">
        <v>0</v>
      </c>
      <c r="N22" s="1" t="s">
        <v>31</v>
      </c>
      <c r="S22" s="1">
        <v>0</v>
      </c>
    </row>
    <row r="23" spans="1:19" hidden="1" x14ac:dyDescent="0.25">
      <c r="A23" s="1">
        <f>VLOOKUP(B23,'Product Cost - Price'!$B$5:$B$223,1,FALSE)</f>
        <v>473237</v>
      </c>
      <c r="B23" s="182">
        <v>473237</v>
      </c>
      <c r="C23" s="44" t="s">
        <v>76</v>
      </c>
      <c r="D23" s="1" t="s">
        <v>76</v>
      </c>
      <c r="E23" s="1" t="s">
        <v>29</v>
      </c>
      <c r="F23" s="1" t="s">
        <v>76</v>
      </c>
      <c r="G23" s="67">
        <v>0.66</v>
      </c>
      <c r="H23" s="1">
        <v>0.62</v>
      </c>
      <c r="I23" s="1">
        <v>0.99</v>
      </c>
      <c r="J23" s="1">
        <v>0</v>
      </c>
      <c r="K23" s="1" t="s">
        <v>23</v>
      </c>
      <c r="L23" s="1" t="s">
        <v>23</v>
      </c>
      <c r="M23" s="1">
        <v>0</v>
      </c>
      <c r="N23" s="1" t="s">
        <v>31</v>
      </c>
      <c r="S23" s="1">
        <v>0</v>
      </c>
    </row>
    <row r="24" spans="1:19" hidden="1" x14ac:dyDescent="0.25">
      <c r="A24" s="1">
        <f>VLOOKUP(B24,'Product Cost - Price'!$B$5:$B$223,1,FALSE)</f>
        <v>483299</v>
      </c>
      <c r="B24" s="186">
        <v>483299</v>
      </c>
      <c r="C24" s="44" t="s">
        <v>77</v>
      </c>
      <c r="D24" s="1" t="s">
        <v>77</v>
      </c>
      <c r="E24" s="1" t="s">
        <v>63</v>
      </c>
      <c r="F24" s="1" t="s">
        <v>77</v>
      </c>
      <c r="G24" s="67">
        <v>0</v>
      </c>
      <c r="H24" s="1">
        <v>34.53</v>
      </c>
      <c r="I24" s="1">
        <v>0</v>
      </c>
      <c r="J24" s="1">
        <v>0</v>
      </c>
      <c r="K24" s="1" t="s">
        <v>23</v>
      </c>
      <c r="L24" s="1" t="s">
        <v>23</v>
      </c>
      <c r="M24" s="1">
        <v>20</v>
      </c>
      <c r="N24" s="1" t="s">
        <v>31</v>
      </c>
      <c r="S24" s="1">
        <v>0</v>
      </c>
    </row>
    <row r="25" spans="1:19" hidden="1" x14ac:dyDescent="0.25">
      <c r="A25" s="1">
        <f>VLOOKUP(B25,'Product Cost - Price'!$B$5:$B$223,1,FALSE)</f>
        <v>484375</v>
      </c>
      <c r="B25" s="186">
        <v>484375</v>
      </c>
      <c r="C25" s="44" t="s">
        <v>78</v>
      </c>
      <c r="D25" s="1" t="s">
        <v>78</v>
      </c>
      <c r="E25" s="1" t="s">
        <v>63</v>
      </c>
      <c r="F25" s="1" t="s">
        <v>78</v>
      </c>
      <c r="G25" s="67">
        <v>0</v>
      </c>
      <c r="H25" s="1">
        <v>8.65</v>
      </c>
      <c r="I25" s="1">
        <v>0</v>
      </c>
      <c r="J25" s="1">
        <v>0</v>
      </c>
      <c r="K25" s="1" t="s">
        <v>23</v>
      </c>
      <c r="L25" s="1" t="s">
        <v>23</v>
      </c>
      <c r="M25" s="1">
        <v>10</v>
      </c>
      <c r="N25" s="1" t="s">
        <v>31</v>
      </c>
      <c r="S25" s="1">
        <v>0</v>
      </c>
    </row>
    <row r="26" spans="1:19" hidden="1" x14ac:dyDescent="0.25">
      <c r="A26" s="1">
        <f>VLOOKUP(B26,'Product Cost - Price'!$B$5:$B$223,1,FALSE)</f>
        <v>484376</v>
      </c>
      <c r="B26" s="186">
        <v>484376</v>
      </c>
      <c r="C26" s="44" t="s">
        <v>79</v>
      </c>
      <c r="D26" s="1" t="s">
        <v>79</v>
      </c>
      <c r="E26" s="1" t="s">
        <v>63</v>
      </c>
      <c r="F26" s="1" t="s">
        <v>79</v>
      </c>
      <c r="G26" s="67">
        <v>0</v>
      </c>
      <c r="H26" s="1">
        <v>17.32</v>
      </c>
      <c r="I26" s="1">
        <v>0</v>
      </c>
      <c r="J26" s="1">
        <v>0</v>
      </c>
      <c r="K26" s="1" t="s">
        <v>23</v>
      </c>
      <c r="L26" s="1" t="s">
        <v>23</v>
      </c>
      <c r="M26" s="1">
        <v>10</v>
      </c>
      <c r="N26" s="1" t="s">
        <v>31</v>
      </c>
      <c r="S26" s="1">
        <v>0</v>
      </c>
    </row>
    <row r="27" spans="1:19" hidden="1" x14ac:dyDescent="0.25">
      <c r="A27" s="1">
        <f>VLOOKUP(B27,'Product Cost - Price'!$B$5:$B$223,1,FALSE)</f>
        <v>491985</v>
      </c>
      <c r="B27" s="186">
        <v>491985</v>
      </c>
      <c r="C27" s="44" t="s">
        <v>80</v>
      </c>
      <c r="D27" s="1" t="s">
        <v>80</v>
      </c>
      <c r="E27" s="1" t="s">
        <v>42</v>
      </c>
      <c r="F27" s="1" t="s">
        <v>81</v>
      </c>
      <c r="G27" s="67">
        <v>18.2</v>
      </c>
      <c r="H27" s="1">
        <v>0</v>
      </c>
      <c r="I27" s="1">
        <v>29</v>
      </c>
      <c r="J27" s="1">
        <v>0</v>
      </c>
      <c r="K27" s="1" t="s">
        <v>23</v>
      </c>
      <c r="L27" s="1" t="s">
        <v>23</v>
      </c>
      <c r="M27" s="1">
        <v>20</v>
      </c>
      <c r="N27" s="1" t="s">
        <v>23</v>
      </c>
      <c r="S27" s="1">
        <v>0</v>
      </c>
    </row>
    <row r="28" spans="1:19" hidden="1" x14ac:dyDescent="0.25">
      <c r="A28" s="1">
        <f>VLOOKUP(B28,'Product Cost - Price'!$B$5:$B$223,1,FALSE)</f>
        <v>491986</v>
      </c>
      <c r="B28" s="186">
        <v>491986</v>
      </c>
      <c r="C28" s="44" t="s">
        <v>82</v>
      </c>
      <c r="D28" s="1" t="s">
        <v>82</v>
      </c>
      <c r="E28" s="1" t="s">
        <v>42</v>
      </c>
      <c r="F28" s="1" t="s">
        <v>83</v>
      </c>
      <c r="G28" s="67">
        <v>18.899999999999999</v>
      </c>
      <c r="H28" s="1">
        <v>0</v>
      </c>
      <c r="I28" s="1">
        <v>30</v>
      </c>
      <c r="J28" s="1">
        <v>0</v>
      </c>
      <c r="K28" s="1" t="s">
        <v>23</v>
      </c>
      <c r="L28" s="1" t="s">
        <v>23</v>
      </c>
      <c r="M28" s="1">
        <v>20</v>
      </c>
      <c r="N28" s="1" t="s">
        <v>23</v>
      </c>
      <c r="S28" s="1">
        <v>0</v>
      </c>
    </row>
    <row r="29" spans="1:19" hidden="1" x14ac:dyDescent="0.25">
      <c r="A29" s="1">
        <f>VLOOKUP(B29,'Product Cost - Price'!$B$5:$B$223,1,FALSE)</f>
        <v>503635</v>
      </c>
      <c r="B29" s="182">
        <v>503635</v>
      </c>
      <c r="C29" s="44" t="s">
        <v>84</v>
      </c>
      <c r="D29" s="1" t="s">
        <v>85</v>
      </c>
      <c r="E29" s="1" t="s">
        <v>29</v>
      </c>
      <c r="F29" s="1" t="s">
        <v>84</v>
      </c>
      <c r="G29" s="67">
        <v>0.77</v>
      </c>
      <c r="H29" s="1">
        <v>0.72</v>
      </c>
      <c r="I29" s="1">
        <v>1.46</v>
      </c>
      <c r="J29" s="1">
        <v>0</v>
      </c>
      <c r="K29" s="1" t="s">
        <v>23</v>
      </c>
      <c r="L29" s="1" t="s">
        <v>23</v>
      </c>
      <c r="M29" s="1">
        <v>0</v>
      </c>
      <c r="N29" s="1" t="s">
        <v>23</v>
      </c>
      <c r="S29" s="1">
        <v>0</v>
      </c>
    </row>
    <row r="30" spans="1:19" hidden="1" x14ac:dyDescent="0.25">
      <c r="A30" s="1">
        <f>VLOOKUP(B30,'Product Cost - Price'!$B$5:$B$223,1,FALSE)</f>
        <v>503636</v>
      </c>
      <c r="B30" s="182">
        <v>503636</v>
      </c>
      <c r="C30" s="44" t="s">
        <v>86</v>
      </c>
      <c r="D30" s="1" t="s">
        <v>87</v>
      </c>
      <c r="E30" s="1" t="s">
        <v>29</v>
      </c>
      <c r="F30" s="1" t="s">
        <v>86</v>
      </c>
      <c r="G30" s="67">
        <v>1.68</v>
      </c>
      <c r="H30" s="1">
        <v>1.56</v>
      </c>
      <c r="I30" s="1">
        <v>2.5099999999999998</v>
      </c>
      <c r="J30" s="1">
        <v>0</v>
      </c>
      <c r="K30" s="1" t="s">
        <v>23</v>
      </c>
      <c r="L30" s="1" t="s">
        <v>23</v>
      </c>
      <c r="M30" s="1">
        <v>1</v>
      </c>
      <c r="N30" s="1" t="s">
        <v>31</v>
      </c>
      <c r="S30" s="1">
        <v>0</v>
      </c>
    </row>
    <row r="31" spans="1:19" hidden="1" x14ac:dyDescent="0.25">
      <c r="A31" s="1">
        <f>VLOOKUP(B31,'Product Cost - Price'!$B$5:$B$223,1,FALSE)</f>
        <v>503637</v>
      </c>
      <c r="B31" s="182">
        <v>503637</v>
      </c>
      <c r="C31" s="44" t="s">
        <v>88</v>
      </c>
      <c r="D31" s="1" t="s">
        <v>89</v>
      </c>
      <c r="E31" s="1" t="s">
        <v>29</v>
      </c>
      <c r="F31" s="1" t="s">
        <v>88</v>
      </c>
      <c r="G31" s="67">
        <v>1.31</v>
      </c>
      <c r="H31" s="1">
        <v>1.22</v>
      </c>
      <c r="I31" s="1">
        <v>1.71</v>
      </c>
      <c r="J31" s="1">
        <v>0</v>
      </c>
      <c r="K31" s="1" t="s">
        <v>23</v>
      </c>
      <c r="L31" s="1" t="s">
        <v>23</v>
      </c>
      <c r="M31" s="1">
        <v>0</v>
      </c>
      <c r="N31" s="1" t="s">
        <v>23</v>
      </c>
      <c r="S31" s="1">
        <v>0</v>
      </c>
    </row>
    <row r="32" spans="1:19" hidden="1" x14ac:dyDescent="0.25">
      <c r="A32" s="1" t="e">
        <f>VLOOKUP(B32,'Product Cost - Price'!$B$5:$B$223,1,FALSE)</f>
        <v>#N/A</v>
      </c>
      <c r="B32" s="9">
        <v>503836</v>
      </c>
      <c r="C32" s="7" t="s">
        <v>90</v>
      </c>
      <c r="D32" s="7" t="s">
        <v>90</v>
      </c>
      <c r="E32" s="7" t="s">
        <v>29</v>
      </c>
      <c r="F32" s="7" t="s">
        <v>90</v>
      </c>
      <c r="G32" s="121">
        <v>0</v>
      </c>
      <c r="H32" s="7">
        <v>0</v>
      </c>
      <c r="I32" s="7">
        <v>0</v>
      </c>
      <c r="J32" s="7">
        <v>0</v>
      </c>
      <c r="K32" s="7" t="s">
        <v>23</v>
      </c>
      <c r="L32" s="7" t="s">
        <v>23</v>
      </c>
      <c r="M32" s="7">
        <v>20</v>
      </c>
      <c r="N32" s="7" t="s">
        <v>23</v>
      </c>
      <c r="O32" s="7"/>
      <c r="P32" s="7"/>
      <c r="Q32" s="7"/>
      <c r="R32" s="7"/>
      <c r="S32" s="7">
        <v>0</v>
      </c>
    </row>
    <row r="33" spans="1:19" hidden="1" x14ac:dyDescent="0.25">
      <c r="A33" s="1">
        <f>VLOOKUP(B33,'Product Cost - Price'!$B$5:$B$223,1,FALSE)</f>
        <v>514492</v>
      </c>
      <c r="B33" s="186">
        <v>514492</v>
      </c>
      <c r="C33" s="1" t="s">
        <v>91</v>
      </c>
      <c r="D33" s="1" t="s">
        <v>91</v>
      </c>
      <c r="E33" s="1" t="s">
        <v>65</v>
      </c>
      <c r="G33" s="67">
        <v>0</v>
      </c>
      <c r="H33" s="1">
        <v>0</v>
      </c>
      <c r="I33" s="1">
        <v>0</v>
      </c>
      <c r="J33" s="1">
        <v>0</v>
      </c>
      <c r="K33" s="1" t="s">
        <v>23</v>
      </c>
      <c r="L33" s="1" t="s">
        <v>23</v>
      </c>
      <c r="N33" s="1" t="s">
        <v>23</v>
      </c>
      <c r="S33" s="1">
        <v>0</v>
      </c>
    </row>
    <row r="34" spans="1:19" hidden="1" x14ac:dyDescent="0.25">
      <c r="A34" s="1" t="e">
        <f>VLOOKUP(B34,'Product Cost - Price'!$B$5:$B$223,1,FALSE)</f>
        <v>#N/A</v>
      </c>
      <c r="B34" s="9">
        <v>520784</v>
      </c>
      <c r="C34" s="7" t="s">
        <v>92</v>
      </c>
      <c r="D34" s="7" t="s">
        <v>93</v>
      </c>
      <c r="E34" s="7" t="s">
        <v>65</v>
      </c>
      <c r="F34" s="7" t="s">
        <v>94</v>
      </c>
      <c r="G34" s="121">
        <v>0</v>
      </c>
      <c r="H34" s="7">
        <v>0</v>
      </c>
      <c r="I34" s="7">
        <v>0</v>
      </c>
      <c r="J34" s="7">
        <v>0</v>
      </c>
      <c r="K34" s="7" t="s">
        <v>23</v>
      </c>
      <c r="L34" s="7" t="s">
        <v>23</v>
      </c>
      <c r="M34" s="7">
        <v>20</v>
      </c>
      <c r="N34" s="7" t="s">
        <v>23</v>
      </c>
      <c r="O34" s="7"/>
      <c r="P34" s="7">
        <v>1</v>
      </c>
      <c r="Q34" s="7"/>
      <c r="R34" s="7"/>
      <c r="S34" s="7">
        <v>0</v>
      </c>
    </row>
    <row r="35" spans="1:19" hidden="1" x14ac:dyDescent="0.25">
      <c r="A35" s="1" t="e">
        <f>VLOOKUP(B35,'Product Cost - Price'!$B$5:$B$223,1,FALSE)</f>
        <v>#N/A</v>
      </c>
      <c r="B35" s="9">
        <v>520785</v>
      </c>
      <c r="C35" s="7" t="s">
        <v>95</v>
      </c>
      <c r="D35" s="7" t="s">
        <v>95</v>
      </c>
      <c r="E35" s="7" t="s">
        <v>65</v>
      </c>
      <c r="F35" s="7" t="s">
        <v>96</v>
      </c>
      <c r="G35" s="121">
        <v>0</v>
      </c>
      <c r="H35" s="7">
        <v>0</v>
      </c>
      <c r="I35" s="7">
        <v>0</v>
      </c>
      <c r="J35" s="7">
        <v>0</v>
      </c>
      <c r="K35" s="7" t="s">
        <v>23</v>
      </c>
      <c r="L35" s="7" t="s">
        <v>23</v>
      </c>
      <c r="M35" s="7">
        <v>20</v>
      </c>
      <c r="N35" s="7" t="s">
        <v>23</v>
      </c>
      <c r="O35" s="7"/>
      <c r="P35" s="7">
        <v>1</v>
      </c>
      <c r="Q35" s="7"/>
      <c r="R35" s="7"/>
      <c r="S35" s="7">
        <v>0</v>
      </c>
    </row>
    <row r="36" spans="1:19" hidden="1" x14ac:dyDescent="0.25">
      <c r="A36" s="1">
        <f>VLOOKUP(B36,'Product Cost - Price'!$B$5:$B$223,1,FALSE)</f>
        <v>540713</v>
      </c>
      <c r="B36" s="186">
        <v>540713</v>
      </c>
      <c r="C36" s="44" t="s">
        <v>97</v>
      </c>
      <c r="D36" s="1" t="s">
        <v>97</v>
      </c>
      <c r="E36" s="1" t="s">
        <v>63</v>
      </c>
      <c r="F36" s="1" t="s">
        <v>97</v>
      </c>
      <c r="G36" s="67">
        <v>0.88</v>
      </c>
      <c r="H36" s="1">
        <v>0.89</v>
      </c>
      <c r="I36" s="1">
        <v>0</v>
      </c>
      <c r="J36" s="1">
        <v>0</v>
      </c>
      <c r="K36" s="1" t="s">
        <v>23</v>
      </c>
      <c r="L36" s="1" t="s">
        <v>23</v>
      </c>
      <c r="M36" s="1">
        <v>0</v>
      </c>
      <c r="N36" s="1" t="s">
        <v>31</v>
      </c>
      <c r="S36" s="1">
        <v>0</v>
      </c>
    </row>
    <row r="37" spans="1:19" hidden="1" x14ac:dyDescent="0.25">
      <c r="A37" s="1">
        <f>VLOOKUP(B37,'Product Cost - Price'!$B$5:$B$223,1,FALSE)</f>
        <v>543451</v>
      </c>
      <c r="B37" s="186">
        <v>543451</v>
      </c>
      <c r="C37" s="1" t="s">
        <v>98</v>
      </c>
      <c r="D37" s="1" t="s">
        <v>99</v>
      </c>
      <c r="E37" s="1" t="s">
        <v>100</v>
      </c>
      <c r="F37" s="1" t="s">
        <v>101</v>
      </c>
      <c r="G37" s="67">
        <v>23</v>
      </c>
      <c r="H37" s="1">
        <v>0</v>
      </c>
      <c r="I37" s="1">
        <v>0</v>
      </c>
      <c r="J37" s="1">
        <v>0</v>
      </c>
      <c r="K37" s="1" t="s">
        <v>23</v>
      </c>
      <c r="L37" s="1" t="s">
        <v>23</v>
      </c>
      <c r="M37" s="1">
        <v>25</v>
      </c>
      <c r="N37" s="1" t="s">
        <v>31</v>
      </c>
      <c r="S37" s="1">
        <v>0</v>
      </c>
    </row>
    <row r="38" spans="1:19" hidden="1" x14ac:dyDescent="0.25">
      <c r="A38" s="1" t="e">
        <f>VLOOKUP(B38,'Product Cost - Price'!$B$5:$B$223,1,FALSE)</f>
        <v>#N/A</v>
      </c>
      <c r="B38" s="9">
        <v>546678</v>
      </c>
      <c r="C38" s="7" t="s">
        <v>102</v>
      </c>
      <c r="D38" s="1" t="s">
        <v>103</v>
      </c>
      <c r="E38" s="1" t="s">
        <v>63</v>
      </c>
      <c r="G38" s="67">
        <v>20.9</v>
      </c>
      <c r="H38" s="1">
        <v>18.559999999999999</v>
      </c>
      <c r="I38" s="1">
        <v>32.299999999999997</v>
      </c>
      <c r="J38" s="1">
        <v>0</v>
      </c>
      <c r="K38" s="1" t="s">
        <v>23</v>
      </c>
      <c r="L38" s="1" t="s">
        <v>23</v>
      </c>
      <c r="M38" s="1">
        <v>20</v>
      </c>
      <c r="N38" s="1" t="s">
        <v>23</v>
      </c>
      <c r="S38" s="1">
        <v>0</v>
      </c>
    </row>
    <row r="39" spans="1:19" s="7" customFormat="1" hidden="1" x14ac:dyDescent="0.25">
      <c r="A39" s="1" t="e">
        <f>VLOOKUP(B39,'Product Cost - Price'!$B$5:$B$223,1,FALSE)</f>
        <v>#N/A</v>
      </c>
      <c r="B39" s="9">
        <v>547329</v>
      </c>
      <c r="C39" s="7" t="s">
        <v>104</v>
      </c>
      <c r="D39" s="7" t="s">
        <v>104</v>
      </c>
      <c r="E39" s="7" t="s">
        <v>65</v>
      </c>
      <c r="F39" s="7" t="s">
        <v>105</v>
      </c>
      <c r="G39" s="121">
        <v>17.399999999999999</v>
      </c>
      <c r="H39" s="7">
        <v>17.399999999999999</v>
      </c>
      <c r="I39" s="7">
        <v>17.399999999999999</v>
      </c>
      <c r="J39" s="7">
        <v>0</v>
      </c>
      <c r="K39" s="7" t="s">
        <v>23</v>
      </c>
      <c r="L39" s="7" t="s">
        <v>23</v>
      </c>
      <c r="M39" s="7">
        <v>20</v>
      </c>
      <c r="N39" s="7" t="s">
        <v>23</v>
      </c>
      <c r="S39" s="7">
        <v>0</v>
      </c>
    </row>
    <row r="40" spans="1:19" s="7" customFormat="1" hidden="1" x14ac:dyDescent="0.25">
      <c r="A40" s="1" t="e">
        <f>VLOOKUP(B40,'Product Cost - Price'!$B$5:$B$223,1,FALSE)</f>
        <v>#N/A</v>
      </c>
      <c r="B40" s="9">
        <v>548427</v>
      </c>
      <c r="C40" s="7" t="s">
        <v>106</v>
      </c>
      <c r="D40" s="7" t="s">
        <v>106</v>
      </c>
      <c r="E40" s="7" t="s">
        <v>29</v>
      </c>
      <c r="F40" s="7" t="s">
        <v>107</v>
      </c>
      <c r="G40" s="121">
        <v>0.19</v>
      </c>
      <c r="H40" s="7">
        <v>0.19</v>
      </c>
      <c r="I40" s="7">
        <v>0.19</v>
      </c>
      <c r="J40" s="7">
        <v>0</v>
      </c>
      <c r="K40" s="7" t="s">
        <v>23</v>
      </c>
      <c r="L40" s="7" t="s">
        <v>23</v>
      </c>
      <c r="M40" s="7">
        <v>0</v>
      </c>
      <c r="N40" s="7" t="s">
        <v>23</v>
      </c>
      <c r="S40" s="7">
        <v>0</v>
      </c>
    </row>
    <row r="41" spans="1:19" s="7" customFormat="1" hidden="1" x14ac:dyDescent="0.25">
      <c r="A41" s="1">
        <f>VLOOKUP(B41,'Product Cost - Price'!$B$5:$B$223,1,FALSE)</f>
        <v>550377</v>
      </c>
      <c r="B41" s="182">
        <v>550377</v>
      </c>
      <c r="C41" s="44" t="s">
        <v>108</v>
      </c>
      <c r="D41" s="1" t="s">
        <v>108</v>
      </c>
      <c r="E41" s="1" t="s">
        <v>29</v>
      </c>
      <c r="F41" s="1"/>
      <c r="G41" s="67">
        <v>1.07</v>
      </c>
      <c r="H41" s="1">
        <v>0.99</v>
      </c>
      <c r="I41" s="1">
        <v>1.6</v>
      </c>
      <c r="J41" s="1">
        <v>0</v>
      </c>
      <c r="K41" s="1" t="s">
        <v>23</v>
      </c>
      <c r="L41" s="1" t="s">
        <v>23</v>
      </c>
      <c r="M41" s="1">
        <v>0</v>
      </c>
      <c r="N41" s="1" t="s">
        <v>23</v>
      </c>
      <c r="O41" s="1"/>
      <c r="P41" s="1"/>
      <c r="Q41" s="1"/>
      <c r="R41" s="1"/>
      <c r="S41" s="1">
        <v>0</v>
      </c>
    </row>
    <row r="42" spans="1:19" hidden="1" x14ac:dyDescent="0.25">
      <c r="A42" s="1" t="e">
        <f>VLOOKUP(B42,'Product Cost - Price'!$B$5:$B$223,1,FALSE)</f>
        <v>#N/A</v>
      </c>
      <c r="B42" s="9">
        <v>554984</v>
      </c>
      <c r="C42" s="7" t="s">
        <v>109</v>
      </c>
      <c r="D42" s="1" t="s">
        <v>110</v>
      </c>
      <c r="E42" s="1" t="s">
        <v>42</v>
      </c>
      <c r="F42" s="1" t="s">
        <v>110</v>
      </c>
      <c r="G42" s="67">
        <v>0</v>
      </c>
      <c r="H42" s="1">
        <v>0</v>
      </c>
      <c r="I42" s="1">
        <v>0</v>
      </c>
      <c r="J42" s="1">
        <v>0</v>
      </c>
      <c r="K42" s="1" t="s">
        <v>23</v>
      </c>
      <c r="L42" s="1" t="s">
        <v>23</v>
      </c>
      <c r="M42" s="1">
        <v>20</v>
      </c>
      <c r="N42" s="1" t="s">
        <v>23</v>
      </c>
      <c r="S42" s="1">
        <v>0</v>
      </c>
    </row>
    <row r="43" spans="1:19" hidden="1" x14ac:dyDescent="0.25">
      <c r="A43" s="1" t="e">
        <f>VLOOKUP(B43,'Product Cost - Price'!$B$5:$B$223,1,FALSE)</f>
        <v>#N/A</v>
      </c>
      <c r="B43" s="9">
        <v>555692</v>
      </c>
      <c r="C43" s="7" t="s">
        <v>111</v>
      </c>
      <c r="D43" s="1" t="s">
        <v>111</v>
      </c>
      <c r="E43" s="1" t="s">
        <v>42</v>
      </c>
      <c r="F43" s="1" t="s">
        <v>111</v>
      </c>
      <c r="G43" s="67">
        <v>0</v>
      </c>
      <c r="H43" s="1">
        <v>0</v>
      </c>
      <c r="I43" s="1">
        <v>0</v>
      </c>
      <c r="J43" s="1">
        <v>0</v>
      </c>
      <c r="K43" s="1" t="s">
        <v>23</v>
      </c>
      <c r="L43" s="1" t="s">
        <v>23</v>
      </c>
      <c r="M43" s="1">
        <v>20</v>
      </c>
      <c r="N43" s="1" t="s">
        <v>23</v>
      </c>
      <c r="S43" s="1">
        <v>0</v>
      </c>
    </row>
    <row r="44" spans="1:19" hidden="1" x14ac:dyDescent="0.25">
      <c r="A44" s="1" t="e">
        <f>VLOOKUP(B44,'Product Cost - Price'!$B$5:$B$223,1,FALSE)</f>
        <v>#N/A</v>
      </c>
      <c r="B44" s="9">
        <v>556427</v>
      </c>
      <c r="C44" s="7" t="s">
        <v>112</v>
      </c>
      <c r="D44" s="7" t="s">
        <v>112</v>
      </c>
      <c r="E44" s="7" t="s">
        <v>29</v>
      </c>
      <c r="F44" s="7" t="s">
        <v>112</v>
      </c>
      <c r="G44" s="121">
        <v>0</v>
      </c>
      <c r="H44" s="7">
        <v>0</v>
      </c>
      <c r="I44" s="7">
        <v>0</v>
      </c>
      <c r="J44" s="7">
        <v>0</v>
      </c>
      <c r="K44" s="7" t="s">
        <v>23</v>
      </c>
      <c r="L44" s="7" t="s">
        <v>23</v>
      </c>
      <c r="M44" s="7">
        <v>1</v>
      </c>
      <c r="N44" s="7" t="s">
        <v>23</v>
      </c>
      <c r="O44" s="7"/>
      <c r="P44" s="7"/>
      <c r="Q44" s="7"/>
      <c r="R44" s="7"/>
      <c r="S44" s="7">
        <v>0</v>
      </c>
    </row>
    <row r="45" spans="1:19" hidden="1" x14ac:dyDescent="0.25">
      <c r="A45" s="1">
        <f>VLOOKUP(B45,'Product Cost - Price'!$B$5:$B$223,1,FALSE)</f>
        <v>557824</v>
      </c>
      <c r="B45" s="186">
        <v>557824</v>
      </c>
      <c r="C45" s="1" t="s">
        <v>113</v>
      </c>
      <c r="D45" s="1" t="s">
        <v>113</v>
      </c>
      <c r="E45" s="1" t="s">
        <v>65</v>
      </c>
      <c r="G45" s="67">
        <v>50</v>
      </c>
      <c r="H45" s="1">
        <v>50</v>
      </c>
      <c r="I45" s="1">
        <v>0</v>
      </c>
      <c r="J45" s="1">
        <v>0</v>
      </c>
      <c r="K45" s="1" t="s">
        <v>23</v>
      </c>
      <c r="L45" s="1" t="s">
        <v>23</v>
      </c>
      <c r="N45" s="1" t="s">
        <v>23</v>
      </c>
      <c r="S45" s="1">
        <v>0</v>
      </c>
    </row>
    <row r="46" spans="1:19" hidden="1" x14ac:dyDescent="0.25">
      <c r="A46" s="1" t="e">
        <f>VLOOKUP(B46,'Product Cost - Price'!$B$5:$B$223,1,FALSE)</f>
        <v>#N/A</v>
      </c>
      <c r="B46" s="9">
        <v>561303</v>
      </c>
      <c r="C46" s="7" t="s">
        <v>114</v>
      </c>
      <c r="D46" s="7" t="s">
        <v>114</v>
      </c>
      <c r="E46" s="7" t="s">
        <v>65</v>
      </c>
      <c r="F46" s="122" t="s">
        <v>114</v>
      </c>
      <c r="G46" s="121">
        <v>0</v>
      </c>
      <c r="H46" s="7">
        <v>7.3999999999999996E-2</v>
      </c>
      <c r="I46" s="7">
        <v>0</v>
      </c>
      <c r="J46" s="7">
        <v>0</v>
      </c>
      <c r="K46" s="7" t="s">
        <v>23</v>
      </c>
      <c r="L46" s="7" t="s">
        <v>23</v>
      </c>
      <c r="M46" s="7">
        <v>0</v>
      </c>
      <c r="N46" s="7" t="s">
        <v>23</v>
      </c>
      <c r="O46" s="7"/>
      <c r="P46" s="7"/>
      <c r="Q46" s="7"/>
      <c r="R46" s="7"/>
      <c r="S46" s="7">
        <v>0</v>
      </c>
    </row>
    <row r="47" spans="1:19" hidden="1" x14ac:dyDescent="0.25">
      <c r="A47" s="1">
        <f>VLOOKUP(B47,'Product Cost - Price'!$B$5:$B$223,1,FALSE)</f>
        <v>564084</v>
      </c>
      <c r="B47" s="182">
        <v>564084</v>
      </c>
      <c r="C47" s="44" t="s">
        <v>115</v>
      </c>
      <c r="D47" s="1" t="s">
        <v>115</v>
      </c>
      <c r="E47" s="1" t="s">
        <v>116</v>
      </c>
      <c r="F47" s="2" t="s">
        <v>115</v>
      </c>
      <c r="G47" s="67">
        <v>1.01</v>
      </c>
      <c r="H47" s="1">
        <v>7.3999999999999996E-2</v>
      </c>
      <c r="I47" s="1">
        <v>0</v>
      </c>
      <c r="J47" s="1">
        <v>0</v>
      </c>
      <c r="K47" s="1" t="s">
        <v>23</v>
      </c>
      <c r="L47" s="1" t="s">
        <v>23</v>
      </c>
      <c r="M47" s="1">
        <v>1</v>
      </c>
      <c r="N47" s="1" t="s">
        <v>31</v>
      </c>
      <c r="S47" s="1">
        <v>0</v>
      </c>
    </row>
    <row r="48" spans="1:19" hidden="1" x14ac:dyDescent="0.25">
      <c r="A48" s="1">
        <f>VLOOKUP(B48,'Product Cost - Price'!$B$5:$B$223,1,FALSE)</f>
        <v>564086</v>
      </c>
      <c r="B48" s="182">
        <v>564086</v>
      </c>
      <c r="C48" s="44" t="s">
        <v>117</v>
      </c>
      <c r="D48" s="1" t="s">
        <v>117</v>
      </c>
      <c r="E48" s="1" t="s">
        <v>116</v>
      </c>
      <c r="F48" s="2" t="s">
        <v>117</v>
      </c>
      <c r="G48" s="67">
        <v>1.42</v>
      </c>
      <c r="H48" s="1">
        <v>7.3999999999999996E-2</v>
      </c>
      <c r="I48" s="1">
        <v>0</v>
      </c>
      <c r="J48" s="1">
        <v>0</v>
      </c>
      <c r="K48" s="1" t="s">
        <v>23</v>
      </c>
      <c r="L48" s="1" t="s">
        <v>23</v>
      </c>
      <c r="M48" s="1">
        <v>1</v>
      </c>
      <c r="N48" s="1" t="s">
        <v>31</v>
      </c>
      <c r="S48" s="1">
        <v>0</v>
      </c>
    </row>
    <row r="49" spans="1:19" hidden="1" x14ac:dyDescent="0.25">
      <c r="A49" s="1">
        <f>VLOOKUP(B49,'Product Cost - Price'!$B$5:$B$223,1,FALSE)</f>
        <v>564231</v>
      </c>
      <c r="B49" s="184">
        <v>564231</v>
      </c>
      <c r="C49" s="64" t="s">
        <v>118</v>
      </c>
      <c r="D49" s="1" t="s">
        <v>118</v>
      </c>
      <c r="E49" s="1" t="s">
        <v>116</v>
      </c>
      <c r="F49" s="2" t="s">
        <v>118</v>
      </c>
      <c r="G49" s="67">
        <v>34.799999999999997</v>
      </c>
      <c r="H49" s="1">
        <v>7.3999999999999996E-2</v>
      </c>
      <c r="I49" s="1">
        <v>0</v>
      </c>
      <c r="J49" s="1">
        <v>0</v>
      </c>
      <c r="K49" s="1" t="s">
        <v>23</v>
      </c>
      <c r="L49" s="1" t="s">
        <v>23</v>
      </c>
      <c r="M49" s="1">
        <v>20</v>
      </c>
      <c r="N49" s="1" t="s">
        <v>31</v>
      </c>
      <c r="S49" s="1">
        <v>0</v>
      </c>
    </row>
    <row r="50" spans="1:19" hidden="1" x14ac:dyDescent="0.25">
      <c r="A50" s="1">
        <f>VLOOKUP(B50,'Product Cost - Price'!$B$5:$B$223,1,FALSE)</f>
        <v>577243</v>
      </c>
      <c r="B50" s="182">
        <v>577243</v>
      </c>
      <c r="C50" s="44" t="s">
        <v>119</v>
      </c>
      <c r="D50" s="1" t="s">
        <v>119</v>
      </c>
      <c r="E50" s="1" t="s">
        <v>29</v>
      </c>
      <c r="F50" s="2" t="s">
        <v>119</v>
      </c>
      <c r="G50" s="67">
        <v>0</v>
      </c>
      <c r="H50" s="1">
        <v>7.3999999999999996E-2</v>
      </c>
      <c r="I50" s="1">
        <v>0</v>
      </c>
      <c r="J50" s="1">
        <v>0</v>
      </c>
      <c r="K50" s="1" t="s">
        <v>23</v>
      </c>
      <c r="L50" s="1" t="s">
        <v>23</v>
      </c>
      <c r="M50" s="1">
        <v>1</v>
      </c>
      <c r="N50" s="1" t="s">
        <v>31</v>
      </c>
      <c r="S50" s="1">
        <v>0</v>
      </c>
    </row>
    <row r="51" spans="1:19" hidden="1" x14ac:dyDescent="0.25">
      <c r="A51" s="1">
        <f>VLOOKUP(B51,'Product Cost - Price'!$B$5:$B$223,1,FALSE)</f>
        <v>578050</v>
      </c>
      <c r="B51" s="188">
        <v>578050</v>
      </c>
      <c r="C51" s="64" t="s">
        <v>120</v>
      </c>
      <c r="D51" s="1" t="s">
        <v>120</v>
      </c>
      <c r="E51" s="1" t="s">
        <v>116</v>
      </c>
      <c r="F51" s="2" t="s">
        <v>120</v>
      </c>
      <c r="G51" s="67">
        <v>18.309999999999999</v>
      </c>
      <c r="H51" s="1">
        <v>7.3999999999999996E-2</v>
      </c>
      <c r="I51" s="1">
        <v>0</v>
      </c>
      <c r="J51" s="1">
        <v>0</v>
      </c>
      <c r="K51" s="1" t="s">
        <v>23</v>
      </c>
      <c r="L51" s="1" t="s">
        <v>23</v>
      </c>
      <c r="M51" s="1">
        <v>15</v>
      </c>
      <c r="N51" s="1" t="s">
        <v>31</v>
      </c>
      <c r="S51" s="1">
        <v>0</v>
      </c>
    </row>
    <row r="52" spans="1:19" s="7" customFormat="1" hidden="1" x14ac:dyDescent="0.25">
      <c r="A52" s="1">
        <f>VLOOKUP(B52,'Product Cost - Price'!$B$5:$B$223,1,FALSE)</f>
        <v>373022</v>
      </c>
      <c r="B52" s="182">
        <v>373022</v>
      </c>
      <c r="C52" s="44" t="s">
        <v>121</v>
      </c>
      <c r="D52" s="1" t="s">
        <v>122</v>
      </c>
      <c r="E52" s="1" t="s">
        <v>29</v>
      </c>
      <c r="F52" s="1" t="s">
        <v>123</v>
      </c>
      <c r="G52" s="1">
        <v>12.5</v>
      </c>
      <c r="H52" s="1">
        <v>12.65</v>
      </c>
      <c r="I52" s="1">
        <v>20.5</v>
      </c>
      <c r="J52" s="1">
        <v>0</v>
      </c>
      <c r="K52" s="1" t="s">
        <v>23</v>
      </c>
      <c r="L52" s="1" t="s">
        <v>23</v>
      </c>
      <c r="M52" s="1">
        <v>20</v>
      </c>
      <c r="N52" s="1" t="s">
        <v>31</v>
      </c>
      <c r="O52" s="1"/>
      <c r="P52" s="1"/>
      <c r="Q52" s="1"/>
      <c r="R52" s="1"/>
      <c r="S52" s="1">
        <v>9.6999999999999993</v>
      </c>
    </row>
    <row r="53" spans="1:19" s="7" customFormat="1" hidden="1" x14ac:dyDescent="0.25">
      <c r="A53" s="1">
        <f>VLOOKUP(B53,'Product Cost - Price'!$B$5:$B$223,1,FALSE)</f>
        <v>373023</v>
      </c>
      <c r="B53" s="182">
        <v>373023</v>
      </c>
      <c r="C53" s="44" t="s">
        <v>124</v>
      </c>
      <c r="D53" s="1" t="s">
        <v>125</v>
      </c>
      <c r="E53" s="1" t="s">
        <v>29</v>
      </c>
      <c r="F53" s="1" t="s">
        <v>126</v>
      </c>
      <c r="G53" s="1">
        <v>17.8</v>
      </c>
      <c r="H53" s="1">
        <v>16.600000000000001</v>
      </c>
      <c r="I53" s="1">
        <v>21.25</v>
      </c>
      <c r="J53" s="1">
        <v>0</v>
      </c>
      <c r="K53" s="1" t="s">
        <v>23</v>
      </c>
      <c r="L53" s="1" t="s">
        <v>23</v>
      </c>
      <c r="M53" s="1">
        <v>20</v>
      </c>
      <c r="N53" s="1" t="s">
        <v>31</v>
      </c>
      <c r="O53" s="1"/>
      <c r="P53" s="1"/>
      <c r="Q53" s="1"/>
      <c r="R53" s="1"/>
      <c r="S53" s="1">
        <v>8</v>
      </c>
    </row>
    <row r="54" spans="1:19" hidden="1" x14ac:dyDescent="0.25">
      <c r="A54" s="1">
        <f>VLOOKUP(B54,'Product Cost - Price'!$B$5:$B$223,1,FALSE)</f>
        <v>380860</v>
      </c>
      <c r="B54" s="182">
        <v>380860</v>
      </c>
      <c r="C54" s="44" t="s">
        <v>127</v>
      </c>
      <c r="D54" s="1" t="s">
        <v>128</v>
      </c>
      <c r="E54" s="1" t="s">
        <v>29</v>
      </c>
      <c r="F54" s="1" t="s">
        <v>129</v>
      </c>
      <c r="G54" s="1">
        <v>15</v>
      </c>
      <c r="H54" s="1">
        <v>13.97</v>
      </c>
      <c r="I54" s="1">
        <v>0</v>
      </c>
      <c r="J54" s="1">
        <v>0</v>
      </c>
      <c r="K54" s="1" t="s">
        <v>23</v>
      </c>
      <c r="L54" s="1" t="s">
        <v>23</v>
      </c>
      <c r="M54" s="1">
        <v>20</v>
      </c>
      <c r="N54" s="1" t="s">
        <v>23</v>
      </c>
      <c r="S54" s="1">
        <v>8.6</v>
      </c>
    </row>
    <row r="55" spans="1:19" hidden="1" x14ac:dyDescent="0.25">
      <c r="A55" s="1">
        <f>VLOOKUP(B55,'Product Cost - Price'!$B$5:$B$223,1,FALSE)</f>
        <v>380861</v>
      </c>
      <c r="B55" s="186">
        <v>380861</v>
      </c>
      <c r="C55" s="44" t="s">
        <v>130</v>
      </c>
      <c r="D55" s="1" t="s">
        <v>131</v>
      </c>
      <c r="E55" s="1" t="s">
        <v>21</v>
      </c>
      <c r="F55" s="1" t="s">
        <v>132</v>
      </c>
      <c r="G55" s="1">
        <v>21.5</v>
      </c>
      <c r="H55" s="1">
        <v>17.95</v>
      </c>
      <c r="I55" s="1">
        <v>0</v>
      </c>
      <c r="J55" s="1">
        <v>0</v>
      </c>
      <c r="K55" s="1" t="s">
        <v>23</v>
      </c>
      <c r="L55" s="1" t="s">
        <v>23</v>
      </c>
      <c r="M55" s="1">
        <v>0</v>
      </c>
      <c r="N55" s="1" t="s">
        <v>31</v>
      </c>
      <c r="S55" s="1">
        <v>0</v>
      </c>
    </row>
    <row r="56" spans="1:19" hidden="1" x14ac:dyDescent="0.25">
      <c r="A56" s="1">
        <f>VLOOKUP(B56,'Product Cost - Price'!$B$5:$B$223,1,FALSE)</f>
        <v>380862</v>
      </c>
      <c r="B56" s="186">
        <v>380862</v>
      </c>
      <c r="C56" s="44" t="s">
        <v>133</v>
      </c>
      <c r="D56" s="1" t="s">
        <v>134</v>
      </c>
      <c r="E56" s="1" t="s">
        <v>21</v>
      </c>
      <c r="F56" s="1" t="s">
        <v>135</v>
      </c>
      <c r="G56" s="1">
        <v>8</v>
      </c>
      <c r="H56" s="1">
        <v>6.5</v>
      </c>
      <c r="I56" s="1">
        <v>0</v>
      </c>
      <c r="J56" s="1">
        <v>0</v>
      </c>
      <c r="K56" s="1" t="s">
        <v>23</v>
      </c>
      <c r="L56" s="1" t="s">
        <v>23</v>
      </c>
      <c r="M56" s="1">
        <v>0</v>
      </c>
      <c r="N56" s="1" t="s">
        <v>31</v>
      </c>
      <c r="S56" s="1">
        <v>0</v>
      </c>
    </row>
    <row r="57" spans="1:19" s="7" customFormat="1" hidden="1" x14ac:dyDescent="0.25">
      <c r="A57" s="1">
        <f>VLOOKUP(B57,'Product Cost - Price'!$B$5:$B$223,1,FALSE)</f>
        <v>380863</v>
      </c>
      <c r="B57" s="186">
        <v>380863</v>
      </c>
      <c r="C57" s="44" t="s">
        <v>136</v>
      </c>
      <c r="D57" s="1" t="s">
        <v>137</v>
      </c>
      <c r="E57" s="1" t="s">
        <v>21</v>
      </c>
      <c r="F57" s="1" t="s">
        <v>138</v>
      </c>
      <c r="G57" s="1">
        <v>24.7</v>
      </c>
      <c r="H57" s="1">
        <v>19.100000000000001</v>
      </c>
      <c r="I57" s="1">
        <v>0</v>
      </c>
      <c r="J57" s="1">
        <v>0</v>
      </c>
      <c r="K57" s="1" t="s">
        <v>23</v>
      </c>
      <c r="L57" s="1" t="s">
        <v>23</v>
      </c>
      <c r="M57" s="1">
        <v>0</v>
      </c>
      <c r="N57" s="1" t="s">
        <v>31</v>
      </c>
      <c r="O57" s="1"/>
      <c r="P57" s="1"/>
      <c r="Q57" s="1"/>
      <c r="R57" s="1"/>
      <c r="S57" s="1">
        <v>0</v>
      </c>
    </row>
    <row r="58" spans="1:19" hidden="1" x14ac:dyDescent="0.25">
      <c r="A58" s="1">
        <f>VLOOKUP(B58,'Product Cost - Price'!$B$5:$B$223,1,FALSE)</f>
        <v>380864</v>
      </c>
      <c r="B58" s="186">
        <v>380864</v>
      </c>
      <c r="C58" s="44" t="s">
        <v>139</v>
      </c>
      <c r="D58" s="1" t="s">
        <v>140</v>
      </c>
      <c r="E58" s="1" t="s">
        <v>21</v>
      </c>
      <c r="F58" s="1" t="s">
        <v>141</v>
      </c>
      <c r="G58" s="1">
        <v>21</v>
      </c>
      <c r="H58" s="1">
        <v>19.100000000000001</v>
      </c>
      <c r="I58" s="1">
        <v>0</v>
      </c>
      <c r="J58" s="1">
        <v>0</v>
      </c>
      <c r="K58" s="1" t="s">
        <v>23</v>
      </c>
      <c r="L58" s="1" t="s">
        <v>23</v>
      </c>
      <c r="M58" s="1">
        <v>0</v>
      </c>
      <c r="N58" s="1" t="s">
        <v>31</v>
      </c>
      <c r="S58" s="1">
        <v>0</v>
      </c>
    </row>
    <row r="59" spans="1:19" hidden="1" x14ac:dyDescent="0.25">
      <c r="A59" s="1">
        <f>VLOOKUP(B59,'Product Cost - Price'!$B$5:$B$223,1,FALSE)</f>
        <v>380867</v>
      </c>
      <c r="B59" s="182">
        <v>380867</v>
      </c>
      <c r="C59" s="44" t="s">
        <v>142</v>
      </c>
      <c r="D59" s="1" t="s">
        <v>143</v>
      </c>
      <c r="E59" s="1" t="s">
        <v>42</v>
      </c>
      <c r="F59" s="1" t="s">
        <v>144</v>
      </c>
      <c r="G59" s="1">
        <v>26.2</v>
      </c>
      <c r="H59" s="1">
        <v>23.28</v>
      </c>
      <c r="I59" s="1">
        <v>39.1</v>
      </c>
      <c r="J59" s="1">
        <v>0</v>
      </c>
      <c r="K59" s="1" t="s">
        <v>23</v>
      </c>
      <c r="L59" s="1" t="s">
        <v>23</v>
      </c>
      <c r="M59" s="1">
        <v>20</v>
      </c>
      <c r="N59" s="1" t="s">
        <v>31</v>
      </c>
      <c r="S59" s="1">
        <v>0</v>
      </c>
    </row>
    <row r="60" spans="1:19" hidden="1" x14ac:dyDescent="0.25">
      <c r="A60" s="1">
        <f>VLOOKUP(B60,'Product Cost - Price'!$B$5:$B$223,1,FALSE)</f>
        <v>383789</v>
      </c>
      <c r="B60" s="182">
        <v>383789</v>
      </c>
      <c r="C60" s="44" t="s">
        <v>145</v>
      </c>
      <c r="D60" s="1" t="s">
        <v>146</v>
      </c>
      <c r="E60" s="1" t="s">
        <v>29</v>
      </c>
      <c r="F60" s="1" t="s">
        <v>147</v>
      </c>
      <c r="G60" s="1">
        <v>12.4</v>
      </c>
      <c r="H60" s="1">
        <v>11.51</v>
      </c>
      <c r="I60" s="1">
        <v>22.8</v>
      </c>
      <c r="J60" s="1">
        <v>0</v>
      </c>
      <c r="K60" s="1" t="s">
        <v>23</v>
      </c>
      <c r="L60" s="1" t="s">
        <v>23</v>
      </c>
      <c r="M60" s="1">
        <v>20</v>
      </c>
      <c r="N60" s="1" t="s">
        <v>31</v>
      </c>
      <c r="S60" s="1">
        <v>7.9</v>
      </c>
    </row>
    <row r="61" spans="1:19" hidden="1" x14ac:dyDescent="0.25">
      <c r="A61" s="1">
        <f>VLOOKUP(B61,'Product Cost - Price'!$B$5:$B$223,1,FALSE)</f>
        <v>383790</v>
      </c>
      <c r="B61" s="182">
        <v>383790</v>
      </c>
      <c r="C61" s="44" t="s">
        <v>148</v>
      </c>
      <c r="D61" s="1" t="s">
        <v>149</v>
      </c>
      <c r="E61" s="1" t="s">
        <v>29</v>
      </c>
      <c r="F61" s="1" t="s">
        <v>150</v>
      </c>
      <c r="G61" s="1">
        <v>17.3</v>
      </c>
      <c r="H61" s="1">
        <v>16.12</v>
      </c>
      <c r="I61" s="1">
        <v>22.4</v>
      </c>
      <c r="J61" s="1">
        <v>0</v>
      </c>
      <c r="K61" s="1" t="s">
        <v>23</v>
      </c>
      <c r="L61" s="1" t="s">
        <v>23</v>
      </c>
      <c r="M61" s="1">
        <v>20</v>
      </c>
      <c r="N61" s="1" t="s">
        <v>31</v>
      </c>
      <c r="S61" s="1">
        <v>9.5</v>
      </c>
    </row>
    <row r="62" spans="1:19" hidden="1" x14ac:dyDescent="0.25">
      <c r="A62" s="1">
        <f>VLOOKUP(B62,'Product Cost - Price'!$B$5:$B$223,1,FALSE)</f>
        <v>383791</v>
      </c>
      <c r="B62" s="182">
        <v>383791</v>
      </c>
      <c r="C62" s="44" t="s">
        <v>151</v>
      </c>
      <c r="D62" s="1" t="s">
        <v>152</v>
      </c>
      <c r="E62" s="1" t="s">
        <v>29</v>
      </c>
      <c r="F62" s="1" t="s">
        <v>151</v>
      </c>
      <c r="G62" s="1">
        <v>26.7</v>
      </c>
      <c r="H62" s="1">
        <v>24.83</v>
      </c>
      <c r="I62" s="1">
        <v>35.35</v>
      </c>
      <c r="J62" s="1">
        <v>0</v>
      </c>
      <c r="K62" s="1" t="s">
        <v>23</v>
      </c>
      <c r="L62" s="1" t="s">
        <v>23</v>
      </c>
      <c r="M62" s="1">
        <v>20</v>
      </c>
      <c r="N62" s="1" t="s">
        <v>31</v>
      </c>
      <c r="S62" s="1">
        <v>17</v>
      </c>
    </row>
    <row r="63" spans="1:19" hidden="1" x14ac:dyDescent="0.25">
      <c r="A63" s="1">
        <f>VLOOKUP(B63,'Product Cost - Price'!$B$5:$B$223,1,FALSE)</f>
        <v>383795</v>
      </c>
      <c r="B63" s="182">
        <v>383795</v>
      </c>
      <c r="C63" s="44" t="s">
        <v>153</v>
      </c>
      <c r="D63" s="1" t="s">
        <v>154</v>
      </c>
      <c r="E63" s="1" t="s">
        <v>29</v>
      </c>
      <c r="F63" s="1" t="s">
        <v>155</v>
      </c>
      <c r="G63" s="1">
        <v>32.700000000000003</v>
      </c>
      <c r="H63" s="1">
        <v>30.45</v>
      </c>
      <c r="I63" s="1">
        <v>49</v>
      </c>
      <c r="J63" s="1">
        <v>0</v>
      </c>
      <c r="K63" s="1" t="s">
        <v>23</v>
      </c>
      <c r="L63" s="1" t="s">
        <v>23</v>
      </c>
      <c r="M63" s="1">
        <v>20</v>
      </c>
      <c r="N63" s="1" t="s">
        <v>31</v>
      </c>
      <c r="S63" s="1">
        <v>26.9</v>
      </c>
    </row>
    <row r="64" spans="1:19" hidden="1" x14ac:dyDescent="0.25">
      <c r="A64" s="1">
        <f>VLOOKUP(B64,'Product Cost - Price'!$B$5:$B$223,1,FALSE)</f>
        <v>383797</v>
      </c>
      <c r="B64" s="182">
        <v>383797</v>
      </c>
      <c r="C64" s="44" t="s">
        <v>156</v>
      </c>
      <c r="D64" s="1" t="s">
        <v>157</v>
      </c>
      <c r="E64" s="1" t="s">
        <v>29</v>
      </c>
      <c r="F64" s="1" t="s">
        <v>158</v>
      </c>
      <c r="G64" s="1">
        <v>20.9</v>
      </c>
      <c r="H64" s="1">
        <v>19.489999999999998</v>
      </c>
      <c r="I64" s="1">
        <v>48</v>
      </c>
      <c r="J64" s="1">
        <v>0</v>
      </c>
      <c r="K64" s="1" t="s">
        <v>23</v>
      </c>
      <c r="L64" s="1" t="s">
        <v>23</v>
      </c>
      <c r="M64" s="1">
        <v>20</v>
      </c>
      <c r="N64" s="1" t="s">
        <v>23</v>
      </c>
      <c r="S64" s="1">
        <v>20.7</v>
      </c>
    </row>
    <row r="65" spans="1:19" hidden="1" x14ac:dyDescent="0.25">
      <c r="A65" s="1">
        <f>VLOOKUP(B65,'Product Cost - Price'!$B$5:$B$223,1,FALSE)</f>
        <v>383799</v>
      </c>
      <c r="B65" s="182">
        <v>383799</v>
      </c>
      <c r="C65" s="44" t="s">
        <v>159</v>
      </c>
      <c r="D65" s="1" t="s">
        <v>160</v>
      </c>
      <c r="E65" s="1" t="s">
        <v>29</v>
      </c>
      <c r="F65" s="1" t="s">
        <v>161</v>
      </c>
      <c r="G65" s="1">
        <v>57.2</v>
      </c>
      <c r="H65" s="1">
        <v>53.32</v>
      </c>
      <c r="I65" s="1">
        <v>48.75</v>
      </c>
      <c r="J65" s="1">
        <v>0</v>
      </c>
      <c r="K65" s="1" t="s">
        <v>23</v>
      </c>
      <c r="L65" s="1" t="s">
        <v>23</v>
      </c>
      <c r="M65" s="1">
        <v>20</v>
      </c>
      <c r="N65" s="1" t="s">
        <v>31</v>
      </c>
      <c r="S65" s="1">
        <v>20</v>
      </c>
    </row>
    <row r="66" spans="1:19" x14ac:dyDescent="0.25">
      <c r="A66" s="1">
        <f>VLOOKUP(B66,'Product Cost - Price'!$B$5:$B$223,1,FALSE)</f>
        <v>383800</v>
      </c>
      <c r="B66" s="182">
        <v>383800</v>
      </c>
      <c r="C66" s="44" t="s">
        <v>162</v>
      </c>
      <c r="D66" s="1" t="s">
        <v>163</v>
      </c>
      <c r="E66" s="1" t="s">
        <v>29</v>
      </c>
      <c r="F66" s="1" t="s">
        <v>164</v>
      </c>
      <c r="G66" s="1">
        <v>31.1</v>
      </c>
      <c r="H66" s="1">
        <v>28.93</v>
      </c>
      <c r="I66" s="1">
        <v>42.45</v>
      </c>
      <c r="J66" s="1">
        <v>0</v>
      </c>
      <c r="K66" s="1" t="s">
        <v>23</v>
      </c>
      <c r="L66" s="1" t="s">
        <v>23</v>
      </c>
      <c r="M66" s="1">
        <v>20</v>
      </c>
      <c r="N66" s="1" t="s">
        <v>31</v>
      </c>
      <c r="S66" s="1">
        <v>23.3</v>
      </c>
    </row>
    <row r="67" spans="1:19" hidden="1" x14ac:dyDescent="0.25">
      <c r="A67" s="1">
        <f>VLOOKUP(B67,'Product Cost - Price'!$B$5:$B$223,1,FALSE)</f>
        <v>383801</v>
      </c>
      <c r="B67" s="182">
        <v>383801</v>
      </c>
      <c r="C67" s="44" t="s">
        <v>165</v>
      </c>
      <c r="D67" s="1" t="s">
        <v>166</v>
      </c>
      <c r="E67" s="1" t="s">
        <v>29</v>
      </c>
      <c r="F67" s="1" t="s">
        <v>167</v>
      </c>
      <c r="G67" s="1">
        <v>45</v>
      </c>
      <c r="H67" s="1">
        <v>41.93</v>
      </c>
      <c r="I67" s="1">
        <v>70</v>
      </c>
      <c r="J67" s="1">
        <v>0</v>
      </c>
      <c r="K67" s="1" t="s">
        <v>23</v>
      </c>
      <c r="L67" s="1" t="s">
        <v>23</v>
      </c>
      <c r="M67" s="1">
        <v>25</v>
      </c>
      <c r="N67" s="1" t="s">
        <v>31</v>
      </c>
      <c r="S67" s="1">
        <v>37.5</v>
      </c>
    </row>
    <row r="68" spans="1:19" hidden="1" x14ac:dyDescent="0.25">
      <c r="A68" s="1">
        <f>VLOOKUP(B68,'Product Cost - Price'!$B$5:$B$223,1,FALSE)</f>
        <v>383802</v>
      </c>
      <c r="B68" s="182">
        <v>383802</v>
      </c>
      <c r="C68" s="44" t="s">
        <v>168</v>
      </c>
      <c r="D68" s="1" t="s">
        <v>169</v>
      </c>
      <c r="E68" s="1" t="s">
        <v>29</v>
      </c>
      <c r="F68" s="1" t="s">
        <v>170</v>
      </c>
      <c r="G68" s="1">
        <v>68</v>
      </c>
      <c r="H68" s="1">
        <v>63.37</v>
      </c>
      <c r="I68" s="1">
        <v>85</v>
      </c>
      <c r="J68" s="1">
        <v>0</v>
      </c>
      <c r="K68" s="1" t="s">
        <v>23</v>
      </c>
      <c r="L68" s="1" t="s">
        <v>23</v>
      </c>
      <c r="M68" s="1">
        <v>25</v>
      </c>
      <c r="N68" s="1" t="s">
        <v>31</v>
      </c>
      <c r="S68" s="1">
        <v>0</v>
      </c>
    </row>
    <row r="69" spans="1:19" hidden="1" x14ac:dyDescent="0.25">
      <c r="A69" s="1">
        <f>VLOOKUP(B69,'Product Cost - Price'!$B$5:$B$223,1,FALSE)</f>
        <v>383803</v>
      </c>
      <c r="B69" s="182">
        <v>383803</v>
      </c>
      <c r="C69" s="44" t="s">
        <v>171</v>
      </c>
      <c r="D69" s="1" t="s">
        <v>172</v>
      </c>
      <c r="E69" s="1" t="s">
        <v>42</v>
      </c>
      <c r="F69" s="1" t="s">
        <v>144</v>
      </c>
      <c r="G69" s="1">
        <v>27.2</v>
      </c>
      <c r="H69" s="1">
        <v>24.21</v>
      </c>
      <c r="I69" s="1">
        <v>40.5</v>
      </c>
      <c r="J69" s="1">
        <v>0</v>
      </c>
      <c r="K69" s="1" t="s">
        <v>23</v>
      </c>
      <c r="L69" s="1" t="s">
        <v>23</v>
      </c>
      <c r="M69" s="1">
        <v>20</v>
      </c>
      <c r="N69" s="1" t="s">
        <v>31</v>
      </c>
      <c r="S69" s="1">
        <v>0</v>
      </c>
    </row>
    <row r="70" spans="1:19" hidden="1" x14ac:dyDescent="0.25">
      <c r="A70" s="1">
        <f>VLOOKUP(B70,'Product Cost - Price'!$B$5:$B$223,1,FALSE)</f>
        <v>383804</v>
      </c>
      <c r="B70" s="182">
        <v>383804</v>
      </c>
      <c r="C70" s="44" t="s">
        <v>173</v>
      </c>
      <c r="D70" s="1" t="s">
        <v>174</v>
      </c>
      <c r="E70" s="1" t="s">
        <v>42</v>
      </c>
      <c r="F70" s="1" t="s">
        <v>175</v>
      </c>
      <c r="G70" s="1">
        <v>22.3</v>
      </c>
      <c r="H70" s="1">
        <v>19.809999999999999</v>
      </c>
      <c r="I70" s="1">
        <v>35.15</v>
      </c>
      <c r="J70" s="1">
        <v>0</v>
      </c>
      <c r="K70" s="1" t="s">
        <v>23</v>
      </c>
      <c r="L70" s="1" t="s">
        <v>23</v>
      </c>
      <c r="M70" s="1">
        <v>20</v>
      </c>
      <c r="N70" s="1" t="s">
        <v>31</v>
      </c>
      <c r="S70" s="1">
        <v>0</v>
      </c>
    </row>
    <row r="71" spans="1:19" hidden="1" x14ac:dyDescent="0.25">
      <c r="A71" s="1">
        <f>VLOOKUP(B71,'Product Cost - Price'!$B$5:$B$223,1,FALSE)</f>
        <v>383805</v>
      </c>
      <c r="B71" s="182">
        <v>383805</v>
      </c>
      <c r="C71" s="44" t="s">
        <v>176</v>
      </c>
      <c r="D71" s="1" t="s">
        <v>177</v>
      </c>
      <c r="E71" s="1" t="s">
        <v>42</v>
      </c>
      <c r="F71" s="1" t="s">
        <v>178</v>
      </c>
      <c r="G71" s="1">
        <v>20.3</v>
      </c>
      <c r="H71" s="1">
        <v>17.989999999999998</v>
      </c>
      <c r="I71" s="1">
        <v>32.75</v>
      </c>
      <c r="J71" s="1">
        <v>0</v>
      </c>
      <c r="K71" s="1" t="s">
        <v>23</v>
      </c>
      <c r="L71" s="1" t="s">
        <v>23</v>
      </c>
      <c r="M71" s="1">
        <v>20</v>
      </c>
      <c r="N71" s="1" t="s">
        <v>31</v>
      </c>
      <c r="S71" s="1">
        <v>0</v>
      </c>
    </row>
    <row r="72" spans="1:19" hidden="1" x14ac:dyDescent="0.25">
      <c r="A72" s="1">
        <f>VLOOKUP(B72,'Product Cost - Price'!$B$5:$B$223,1,FALSE)</f>
        <v>383806</v>
      </c>
      <c r="B72" s="182">
        <v>383806</v>
      </c>
      <c r="C72" s="44" t="s">
        <v>179</v>
      </c>
      <c r="D72" s="1" t="s">
        <v>180</v>
      </c>
      <c r="E72" s="1" t="s">
        <v>42</v>
      </c>
      <c r="F72" s="1" t="s">
        <v>181</v>
      </c>
      <c r="G72" s="1">
        <v>23.6</v>
      </c>
      <c r="H72" s="1">
        <v>20.94</v>
      </c>
      <c r="I72" s="1">
        <v>37</v>
      </c>
      <c r="J72" s="1">
        <v>0</v>
      </c>
      <c r="K72" s="1" t="s">
        <v>23</v>
      </c>
      <c r="L72" s="1" t="s">
        <v>23</v>
      </c>
      <c r="M72" s="1">
        <v>20</v>
      </c>
      <c r="N72" s="1" t="s">
        <v>31</v>
      </c>
      <c r="S72" s="1">
        <v>0</v>
      </c>
    </row>
    <row r="73" spans="1:19" hidden="1" x14ac:dyDescent="0.25">
      <c r="A73" s="1">
        <f>VLOOKUP(B73,'Product Cost - Price'!$B$5:$B$223,1,FALSE)</f>
        <v>383807</v>
      </c>
      <c r="B73" s="182">
        <v>383807</v>
      </c>
      <c r="C73" s="44" t="s">
        <v>182</v>
      </c>
      <c r="D73" s="1" t="s">
        <v>183</v>
      </c>
      <c r="E73" s="1" t="s">
        <v>42</v>
      </c>
      <c r="F73" s="1" t="s">
        <v>184</v>
      </c>
      <c r="G73" s="67">
        <v>26.7</v>
      </c>
      <c r="H73" s="1">
        <v>23.71</v>
      </c>
      <c r="I73" s="1">
        <v>40.15</v>
      </c>
      <c r="J73" s="1">
        <v>0</v>
      </c>
      <c r="K73" s="1" t="s">
        <v>23</v>
      </c>
      <c r="L73" s="1" t="s">
        <v>23</v>
      </c>
      <c r="M73" s="1">
        <v>20</v>
      </c>
      <c r="N73" s="1" t="s">
        <v>31</v>
      </c>
      <c r="S73" s="1">
        <v>0</v>
      </c>
    </row>
    <row r="74" spans="1:19" hidden="1" x14ac:dyDescent="0.25">
      <c r="A74" s="1">
        <f>VLOOKUP(B74,'Product Cost - Price'!$B$5:$B$223,1,FALSE)</f>
        <v>383808</v>
      </c>
      <c r="B74" s="182">
        <v>383808</v>
      </c>
      <c r="C74" s="44" t="s">
        <v>185</v>
      </c>
      <c r="D74" s="1" t="s">
        <v>186</v>
      </c>
      <c r="E74" s="1" t="s">
        <v>42</v>
      </c>
      <c r="F74" s="1" t="s">
        <v>187</v>
      </c>
      <c r="G74" s="67">
        <v>27.7</v>
      </c>
      <c r="H74" s="1">
        <v>24.58</v>
      </c>
      <c r="I74" s="1">
        <v>46</v>
      </c>
      <c r="J74" s="1">
        <v>0</v>
      </c>
      <c r="K74" s="1" t="s">
        <v>23</v>
      </c>
      <c r="L74" s="1" t="s">
        <v>23</v>
      </c>
      <c r="M74" s="1">
        <v>20</v>
      </c>
      <c r="N74" s="1" t="s">
        <v>31</v>
      </c>
      <c r="S74" s="1">
        <v>0</v>
      </c>
    </row>
    <row r="75" spans="1:19" hidden="1" x14ac:dyDescent="0.25">
      <c r="A75" s="1">
        <f>VLOOKUP(B75,'Product Cost - Price'!$B$5:$B$223,1,FALSE)</f>
        <v>383809</v>
      </c>
      <c r="B75" s="182">
        <v>383809</v>
      </c>
      <c r="C75" s="44" t="s">
        <v>188</v>
      </c>
      <c r="D75" s="1" t="s">
        <v>189</v>
      </c>
      <c r="E75" s="1" t="s">
        <v>42</v>
      </c>
      <c r="F75" s="1" t="s">
        <v>190</v>
      </c>
      <c r="G75" s="67">
        <v>22.1</v>
      </c>
      <c r="H75" s="1">
        <v>19.670000000000002</v>
      </c>
      <c r="I75" s="1">
        <v>35</v>
      </c>
      <c r="J75" s="1">
        <v>0</v>
      </c>
      <c r="K75" s="1" t="s">
        <v>23</v>
      </c>
      <c r="L75" s="1" t="s">
        <v>23</v>
      </c>
      <c r="M75" s="1">
        <v>20</v>
      </c>
      <c r="N75" s="1" t="s">
        <v>31</v>
      </c>
      <c r="S75" s="1">
        <v>0</v>
      </c>
    </row>
    <row r="76" spans="1:19" hidden="1" x14ac:dyDescent="0.25">
      <c r="A76" s="1">
        <f>VLOOKUP(B76,'Product Cost - Price'!$B$5:$B$223,1,FALSE)</f>
        <v>383813</v>
      </c>
      <c r="B76" s="182">
        <v>383813</v>
      </c>
      <c r="C76" s="44" t="s">
        <v>191</v>
      </c>
      <c r="D76" s="1" t="s">
        <v>192</v>
      </c>
      <c r="E76" s="1" t="s">
        <v>42</v>
      </c>
      <c r="F76" s="1" t="s">
        <v>193</v>
      </c>
      <c r="G76" s="67">
        <v>36.799999999999997</v>
      </c>
      <c r="H76" s="1">
        <v>32.729999999999997</v>
      </c>
      <c r="I76" s="1">
        <v>50.25</v>
      </c>
      <c r="J76" s="1">
        <v>0</v>
      </c>
      <c r="K76" s="1" t="s">
        <v>23</v>
      </c>
      <c r="L76" s="1" t="s">
        <v>23</v>
      </c>
      <c r="M76" s="1">
        <v>20</v>
      </c>
      <c r="N76" s="1" t="s">
        <v>31</v>
      </c>
      <c r="S76" s="1">
        <v>0</v>
      </c>
    </row>
    <row r="77" spans="1:19" hidden="1" x14ac:dyDescent="0.25">
      <c r="A77" s="1">
        <f>VLOOKUP(B77,'Product Cost - Price'!$B$5:$B$223,1,FALSE)</f>
        <v>383814</v>
      </c>
      <c r="B77" s="182">
        <v>383814</v>
      </c>
      <c r="C77" s="44" t="s">
        <v>194</v>
      </c>
      <c r="D77" s="1" t="s">
        <v>195</v>
      </c>
      <c r="E77" s="1" t="s">
        <v>196</v>
      </c>
      <c r="F77" s="1" t="s">
        <v>195</v>
      </c>
      <c r="G77" s="67">
        <v>14.4</v>
      </c>
      <c r="H77" s="1">
        <v>13</v>
      </c>
      <c r="I77" s="1">
        <v>23.5</v>
      </c>
      <c r="J77" s="1">
        <v>0</v>
      </c>
      <c r="K77" s="1" t="s">
        <v>23</v>
      </c>
      <c r="L77" s="1" t="s">
        <v>23</v>
      </c>
      <c r="M77" s="1">
        <v>20</v>
      </c>
      <c r="N77" s="1" t="s">
        <v>31</v>
      </c>
      <c r="S77" s="1">
        <v>0</v>
      </c>
    </row>
    <row r="78" spans="1:19" hidden="1" x14ac:dyDescent="0.25">
      <c r="A78" s="1">
        <f>VLOOKUP(B78,'Product Cost - Price'!$B$5:$B$223,1,FALSE)</f>
        <v>383816</v>
      </c>
      <c r="B78" s="186">
        <v>383816</v>
      </c>
      <c r="C78" s="1" t="s">
        <v>197</v>
      </c>
      <c r="D78" s="1" t="s">
        <v>197</v>
      </c>
      <c r="E78" s="1" t="s">
        <v>50</v>
      </c>
      <c r="F78" s="1" t="s">
        <v>198</v>
      </c>
      <c r="G78" s="67">
        <v>27.4</v>
      </c>
      <c r="H78" s="1">
        <v>0</v>
      </c>
      <c r="I78" s="1">
        <v>0</v>
      </c>
      <c r="J78" s="1">
        <v>0</v>
      </c>
      <c r="K78" s="1" t="s">
        <v>23</v>
      </c>
      <c r="L78" s="1" t="s">
        <v>23</v>
      </c>
      <c r="M78" s="1">
        <v>0</v>
      </c>
      <c r="N78" s="1" t="s">
        <v>31</v>
      </c>
      <c r="S78" s="1">
        <v>0</v>
      </c>
    </row>
    <row r="79" spans="1:19" hidden="1" x14ac:dyDescent="0.25">
      <c r="A79" s="1">
        <f>VLOOKUP(B79,'Product Cost - Price'!$B$5:$B$223,1,FALSE)</f>
        <v>394591</v>
      </c>
      <c r="B79" s="182">
        <v>394591</v>
      </c>
      <c r="C79" s="44" t="s">
        <v>199</v>
      </c>
      <c r="D79" s="1" t="s">
        <v>199</v>
      </c>
      <c r="E79" s="1" t="s">
        <v>29</v>
      </c>
      <c r="F79" s="1" t="s">
        <v>199</v>
      </c>
      <c r="G79" s="67">
        <v>0.72</v>
      </c>
      <c r="H79" s="1">
        <v>0.68</v>
      </c>
      <c r="I79" s="1">
        <v>0</v>
      </c>
      <c r="J79" s="1">
        <v>0</v>
      </c>
      <c r="K79" s="1" t="s">
        <v>23</v>
      </c>
      <c r="L79" s="1" t="s">
        <v>23</v>
      </c>
      <c r="M79" s="1">
        <v>1</v>
      </c>
      <c r="N79" s="1" t="s">
        <v>23</v>
      </c>
      <c r="S79" s="1">
        <v>0</v>
      </c>
    </row>
    <row r="80" spans="1:19" hidden="1" x14ac:dyDescent="0.25">
      <c r="A80" s="1">
        <f>VLOOKUP(B80,'Product Cost - Price'!$B$5:$B$223,1,FALSE)</f>
        <v>394989</v>
      </c>
      <c r="B80" s="182">
        <v>394989</v>
      </c>
      <c r="C80" s="44" t="s">
        <v>200</v>
      </c>
      <c r="D80" s="1" t="s">
        <v>200</v>
      </c>
      <c r="E80" s="1" t="s">
        <v>29</v>
      </c>
      <c r="F80" s="1" t="s">
        <v>200</v>
      </c>
      <c r="G80" s="67">
        <v>0.86</v>
      </c>
      <c r="H80" s="1">
        <v>0.89</v>
      </c>
      <c r="I80" s="1">
        <v>0.97</v>
      </c>
      <c r="J80" s="1">
        <v>0</v>
      </c>
      <c r="K80" s="1" t="s">
        <v>23</v>
      </c>
      <c r="L80" s="1" t="s">
        <v>23</v>
      </c>
      <c r="M80" s="1">
        <v>0</v>
      </c>
      <c r="N80" s="1" t="s">
        <v>31</v>
      </c>
      <c r="S80" s="1">
        <v>0</v>
      </c>
    </row>
    <row r="81" spans="1:19" hidden="1" x14ac:dyDescent="0.25">
      <c r="A81" s="1">
        <f>VLOOKUP(B81,'Product Cost - Price'!$B$5:$B$223,1,FALSE)</f>
        <v>403984</v>
      </c>
      <c r="B81" s="186">
        <v>403984</v>
      </c>
      <c r="C81" s="1" t="s">
        <v>201</v>
      </c>
      <c r="D81" s="1" t="s">
        <v>201</v>
      </c>
      <c r="E81" s="1" t="s">
        <v>29</v>
      </c>
      <c r="F81" s="1" t="s">
        <v>202</v>
      </c>
      <c r="G81" s="67">
        <v>4</v>
      </c>
      <c r="H81" s="1">
        <v>2.6</v>
      </c>
      <c r="I81" s="1">
        <v>2.6</v>
      </c>
      <c r="J81" s="1">
        <v>0</v>
      </c>
      <c r="K81" s="1" t="s">
        <v>23</v>
      </c>
      <c r="L81" s="1" t="s">
        <v>23</v>
      </c>
      <c r="M81" s="1">
        <v>20</v>
      </c>
      <c r="N81" s="1" t="s">
        <v>31</v>
      </c>
      <c r="S81" s="1">
        <v>0</v>
      </c>
    </row>
    <row r="82" spans="1:19" hidden="1" x14ac:dyDescent="0.25">
      <c r="A82" s="1">
        <f>VLOOKUP(B82,'Product Cost - Price'!$B$5:$B$223,1,FALSE)</f>
        <v>403985</v>
      </c>
      <c r="B82" s="186">
        <v>403985</v>
      </c>
      <c r="C82" s="1" t="s">
        <v>203</v>
      </c>
      <c r="D82" s="1" t="s">
        <v>203</v>
      </c>
      <c r="E82" s="1" t="s">
        <v>29</v>
      </c>
      <c r="F82" s="1" t="s">
        <v>204</v>
      </c>
      <c r="G82" s="67">
        <v>0.13</v>
      </c>
      <c r="H82" s="1">
        <v>0.13</v>
      </c>
      <c r="I82" s="1">
        <v>0.13</v>
      </c>
      <c r="J82" s="1">
        <v>0</v>
      </c>
      <c r="K82" s="1" t="s">
        <v>23</v>
      </c>
      <c r="L82" s="1" t="s">
        <v>23</v>
      </c>
      <c r="M82" s="1">
        <v>0</v>
      </c>
      <c r="N82" s="1" t="s">
        <v>31</v>
      </c>
      <c r="S82" s="1">
        <v>0</v>
      </c>
    </row>
    <row r="83" spans="1:19" hidden="1" x14ac:dyDescent="0.25">
      <c r="A83" s="1">
        <f>VLOOKUP(B83,'Product Cost - Price'!$B$5:$B$223,1,FALSE)</f>
        <v>408406</v>
      </c>
      <c r="B83" s="182">
        <v>408406</v>
      </c>
      <c r="C83" s="44" t="s">
        <v>205</v>
      </c>
      <c r="D83" s="1" t="s">
        <v>206</v>
      </c>
      <c r="E83" s="1" t="s">
        <v>42</v>
      </c>
      <c r="F83" s="1" t="s">
        <v>207</v>
      </c>
      <c r="G83" s="67">
        <v>24.2</v>
      </c>
      <c r="H83" s="1">
        <v>21.52</v>
      </c>
      <c r="I83" s="1">
        <v>37.85</v>
      </c>
      <c r="J83" s="1">
        <v>0</v>
      </c>
      <c r="K83" s="1" t="s">
        <v>23</v>
      </c>
      <c r="L83" s="1" t="s">
        <v>23</v>
      </c>
      <c r="M83" s="1">
        <v>20</v>
      </c>
      <c r="N83" s="1" t="s">
        <v>31</v>
      </c>
      <c r="S83" s="1">
        <v>0</v>
      </c>
    </row>
    <row r="84" spans="1:19" hidden="1" x14ac:dyDescent="0.25">
      <c r="A84" s="1" t="e">
        <f>VLOOKUP(B84,'Product Cost - Price'!$B$5:$B$223,1,FALSE)</f>
        <v>#N/A</v>
      </c>
      <c r="B84" s="183">
        <v>409027</v>
      </c>
      <c r="C84" s="7" t="s">
        <v>208</v>
      </c>
      <c r="D84" s="1" t="s">
        <v>208</v>
      </c>
      <c r="E84" s="1" t="s">
        <v>29</v>
      </c>
      <c r="F84" s="1" t="s">
        <v>208</v>
      </c>
      <c r="G84" s="67">
        <v>0</v>
      </c>
      <c r="H84" s="1">
        <v>0</v>
      </c>
      <c r="I84" s="1">
        <v>0</v>
      </c>
      <c r="J84" s="1">
        <v>0</v>
      </c>
      <c r="K84" s="1" t="s">
        <v>23</v>
      </c>
      <c r="L84" s="1" t="s">
        <v>23</v>
      </c>
      <c r="M84" s="1">
        <v>0</v>
      </c>
      <c r="N84" s="1" t="s">
        <v>23</v>
      </c>
      <c r="S84" s="1">
        <v>0</v>
      </c>
    </row>
    <row r="85" spans="1:19" hidden="1" x14ac:dyDescent="0.25">
      <c r="A85" s="1">
        <f>VLOOKUP(B85,'Product Cost - Price'!$B$5:$B$223,1,FALSE)</f>
        <v>411797</v>
      </c>
      <c r="B85" s="186">
        <v>411797</v>
      </c>
      <c r="C85" s="1" t="s">
        <v>209</v>
      </c>
      <c r="D85" s="1" t="s">
        <v>209</v>
      </c>
      <c r="E85" s="1" t="s">
        <v>65</v>
      </c>
      <c r="F85" s="1" t="s">
        <v>209</v>
      </c>
      <c r="G85" s="67">
        <v>0.63</v>
      </c>
      <c r="H85" s="1">
        <v>0.63</v>
      </c>
      <c r="I85" s="1">
        <v>0.63</v>
      </c>
      <c r="J85" s="1">
        <v>0</v>
      </c>
      <c r="K85" s="1" t="s">
        <v>23</v>
      </c>
      <c r="L85" s="1" t="s">
        <v>23</v>
      </c>
      <c r="M85" s="1">
        <v>0</v>
      </c>
      <c r="N85" s="1" t="s">
        <v>23</v>
      </c>
      <c r="S85" s="1">
        <v>0</v>
      </c>
    </row>
    <row r="86" spans="1:19" hidden="1" x14ac:dyDescent="0.25">
      <c r="A86" s="1">
        <f>VLOOKUP(B86,'Product Cost - Price'!$B$5:$B$223,1,FALSE)</f>
        <v>441361</v>
      </c>
      <c r="B86" s="186">
        <v>441361</v>
      </c>
      <c r="C86" s="1" t="s">
        <v>210</v>
      </c>
      <c r="D86" s="1" t="s">
        <v>210</v>
      </c>
      <c r="E86" s="1" t="s">
        <v>29</v>
      </c>
      <c r="F86" s="1" t="s">
        <v>211</v>
      </c>
      <c r="G86" s="67">
        <v>4</v>
      </c>
      <c r="H86" s="1">
        <v>4</v>
      </c>
      <c r="I86" s="1">
        <v>4</v>
      </c>
      <c r="J86" s="1">
        <v>4</v>
      </c>
      <c r="K86" s="1" t="s">
        <v>23</v>
      </c>
      <c r="L86" s="1" t="s">
        <v>23</v>
      </c>
      <c r="M86" s="1">
        <v>20</v>
      </c>
      <c r="N86" s="1" t="s">
        <v>31</v>
      </c>
      <c r="S86" s="1">
        <v>0</v>
      </c>
    </row>
    <row r="87" spans="1:19" hidden="1" x14ac:dyDescent="0.25">
      <c r="A87" s="1">
        <f>VLOOKUP(B87,'Product Cost - Price'!$B$5:$B$223,1,FALSE)</f>
        <v>455322</v>
      </c>
      <c r="B87" s="186">
        <v>455322</v>
      </c>
      <c r="C87" s="1" t="s">
        <v>212</v>
      </c>
      <c r="D87" s="1" t="s">
        <v>212</v>
      </c>
      <c r="E87" s="1" t="s">
        <v>29</v>
      </c>
      <c r="F87" s="1" t="s">
        <v>213</v>
      </c>
      <c r="G87" s="67">
        <v>0</v>
      </c>
      <c r="H87" s="1">
        <v>0</v>
      </c>
      <c r="I87" s="1">
        <v>0</v>
      </c>
      <c r="J87" s="1">
        <v>0</v>
      </c>
      <c r="K87" s="1" t="s">
        <v>23</v>
      </c>
      <c r="L87" s="1" t="s">
        <v>23</v>
      </c>
      <c r="M87" s="1">
        <v>20</v>
      </c>
      <c r="N87" s="1" t="s">
        <v>23</v>
      </c>
      <c r="S87" s="1">
        <v>0</v>
      </c>
    </row>
    <row r="88" spans="1:19" hidden="1" x14ac:dyDescent="0.25">
      <c r="A88" s="1">
        <f>VLOOKUP(B88,'Product Cost - Price'!$B$5:$B$223,1,FALSE)</f>
        <v>472760</v>
      </c>
      <c r="B88" s="186">
        <v>472760</v>
      </c>
      <c r="C88" s="44" t="s">
        <v>214</v>
      </c>
      <c r="D88" s="1" t="s">
        <v>214</v>
      </c>
      <c r="E88" s="1" t="s">
        <v>63</v>
      </c>
      <c r="F88" s="1" t="s">
        <v>214</v>
      </c>
      <c r="G88" s="67">
        <v>0</v>
      </c>
      <c r="H88" s="1">
        <v>18.54</v>
      </c>
      <c r="I88" s="1">
        <v>0</v>
      </c>
      <c r="J88" s="1">
        <v>0</v>
      </c>
      <c r="K88" s="1" t="s">
        <v>23</v>
      </c>
      <c r="L88" s="1" t="s">
        <v>23</v>
      </c>
      <c r="M88" s="1">
        <v>20</v>
      </c>
      <c r="N88" s="1" t="s">
        <v>31</v>
      </c>
      <c r="S88" s="1">
        <v>0</v>
      </c>
    </row>
    <row r="89" spans="1:19" hidden="1" x14ac:dyDescent="0.25">
      <c r="A89" s="1">
        <f>VLOOKUP(B89,'Product Cost - Price'!$B$5:$B$223,1,FALSE)</f>
        <v>472761</v>
      </c>
      <c r="B89" s="186">
        <v>472761</v>
      </c>
      <c r="C89" s="44" t="s">
        <v>215</v>
      </c>
      <c r="D89" s="1" t="s">
        <v>215</v>
      </c>
      <c r="E89" s="1" t="s">
        <v>63</v>
      </c>
      <c r="F89" s="1" t="s">
        <v>215</v>
      </c>
      <c r="G89" s="67">
        <v>0</v>
      </c>
      <c r="H89" s="1">
        <v>18.68</v>
      </c>
      <c r="I89" s="1">
        <v>0</v>
      </c>
      <c r="J89" s="1">
        <v>0</v>
      </c>
      <c r="K89" s="1" t="s">
        <v>23</v>
      </c>
      <c r="L89" s="1" t="s">
        <v>23</v>
      </c>
      <c r="M89" s="1">
        <v>20</v>
      </c>
      <c r="N89" s="1" t="s">
        <v>31</v>
      </c>
      <c r="S89" s="1">
        <v>0</v>
      </c>
    </row>
    <row r="90" spans="1:19" hidden="1" x14ac:dyDescent="0.25">
      <c r="A90" s="1">
        <f>VLOOKUP(B90,'Product Cost - Price'!$B$5:$B$223,1,FALSE)</f>
        <v>482692</v>
      </c>
      <c r="B90" s="186">
        <v>482692</v>
      </c>
      <c r="C90" s="44" t="s">
        <v>216</v>
      </c>
      <c r="D90" s="1" t="s">
        <v>216</v>
      </c>
      <c r="E90" s="1" t="s">
        <v>63</v>
      </c>
      <c r="F90" s="1" t="s">
        <v>216</v>
      </c>
      <c r="G90" s="67">
        <v>0</v>
      </c>
      <c r="H90" s="1">
        <v>0.96</v>
      </c>
      <c r="I90" s="1">
        <v>0</v>
      </c>
      <c r="J90" s="1">
        <v>0</v>
      </c>
      <c r="K90" s="1" t="s">
        <v>23</v>
      </c>
      <c r="L90" s="1" t="s">
        <v>23</v>
      </c>
      <c r="M90" s="1">
        <v>1</v>
      </c>
      <c r="N90" s="1" t="s">
        <v>31</v>
      </c>
      <c r="S90" s="1">
        <v>0</v>
      </c>
    </row>
    <row r="91" spans="1:19" hidden="1" x14ac:dyDescent="0.25">
      <c r="A91" s="1">
        <f>VLOOKUP(B91,'Product Cost - Price'!$B$5:$B$223,1,FALSE)</f>
        <v>482693</v>
      </c>
      <c r="B91" s="186">
        <v>482693</v>
      </c>
      <c r="C91" s="44" t="s">
        <v>217</v>
      </c>
      <c r="D91" s="1" t="s">
        <v>217</v>
      </c>
      <c r="E91" s="1" t="s">
        <v>63</v>
      </c>
      <c r="F91" s="1" t="s">
        <v>217</v>
      </c>
      <c r="G91" s="67">
        <v>0</v>
      </c>
      <c r="H91" s="1">
        <v>0.97</v>
      </c>
      <c r="I91" s="1">
        <v>0</v>
      </c>
      <c r="J91" s="1">
        <v>0</v>
      </c>
      <c r="K91" s="1" t="s">
        <v>23</v>
      </c>
      <c r="L91" s="1" t="s">
        <v>23</v>
      </c>
      <c r="M91" s="1">
        <v>1</v>
      </c>
      <c r="N91" s="1" t="s">
        <v>31</v>
      </c>
      <c r="S91" s="1">
        <v>0</v>
      </c>
    </row>
    <row r="92" spans="1:19" hidden="1" x14ac:dyDescent="0.25">
      <c r="A92" s="1">
        <f>VLOOKUP(B92,'Product Cost - Price'!$B$5:$B$223,1,FALSE)</f>
        <v>483297</v>
      </c>
      <c r="B92" s="186">
        <v>483297</v>
      </c>
      <c r="C92" s="44" t="s">
        <v>218</v>
      </c>
      <c r="D92" s="1" t="s">
        <v>218</v>
      </c>
      <c r="E92" s="1" t="s">
        <v>63</v>
      </c>
      <c r="F92" s="1" t="s">
        <v>218</v>
      </c>
      <c r="G92" s="67">
        <v>0</v>
      </c>
      <c r="H92" s="1">
        <v>28.49</v>
      </c>
      <c r="I92" s="1">
        <v>0</v>
      </c>
      <c r="J92" s="1">
        <v>0</v>
      </c>
      <c r="K92" s="1" t="s">
        <v>23</v>
      </c>
      <c r="L92" s="1" t="s">
        <v>23</v>
      </c>
      <c r="M92" s="1">
        <v>20</v>
      </c>
      <c r="N92" s="1" t="s">
        <v>31</v>
      </c>
      <c r="S92" s="1">
        <v>0</v>
      </c>
    </row>
    <row r="93" spans="1:19" hidden="1" x14ac:dyDescent="0.25">
      <c r="A93" s="1">
        <f>VLOOKUP(B93,'Product Cost - Price'!$B$5:$B$223,1,FALSE)</f>
        <v>483298</v>
      </c>
      <c r="B93" s="186">
        <v>483298</v>
      </c>
      <c r="C93" s="44" t="s">
        <v>219</v>
      </c>
      <c r="D93" s="1" t="s">
        <v>219</v>
      </c>
      <c r="E93" s="1" t="s">
        <v>63</v>
      </c>
      <c r="F93" s="1" t="s">
        <v>219</v>
      </c>
      <c r="G93" s="67">
        <v>0</v>
      </c>
      <c r="H93" s="1">
        <v>34.53</v>
      </c>
      <c r="I93" s="1">
        <v>0</v>
      </c>
      <c r="J93" s="1">
        <v>0</v>
      </c>
      <c r="K93" s="1" t="s">
        <v>23</v>
      </c>
      <c r="L93" s="1" t="s">
        <v>23</v>
      </c>
      <c r="M93" s="1">
        <v>20</v>
      </c>
      <c r="N93" s="1" t="s">
        <v>31</v>
      </c>
      <c r="S93" s="1">
        <v>0</v>
      </c>
    </row>
    <row r="94" spans="1:19" s="7" customFormat="1" hidden="1" x14ac:dyDescent="0.25">
      <c r="A94" s="1">
        <f>VLOOKUP(B94,'Product Cost - Price'!$B$5:$B$223,1,FALSE)</f>
        <v>483300</v>
      </c>
      <c r="B94" s="186">
        <v>483300</v>
      </c>
      <c r="C94" s="44" t="s">
        <v>220</v>
      </c>
      <c r="D94" s="1" t="s">
        <v>220</v>
      </c>
      <c r="E94" s="1" t="s">
        <v>63</v>
      </c>
      <c r="F94" s="1" t="s">
        <v>220</v>
      </c>
      <c r="G94" s="67">
        <v>0</v>
      </c>
      <c r="H94" s="1">
        <v>35.47</v>
      </c>
      <c r="I94" s="1">
        <v>0</v>
      </c>
      <c r="J94" s="1">
        <v>0</v>
      </c>
      <c r="K94" s="1" t="s">
        <v>23</v>
      </c>
      <c r="L94" s="1" t="s">
        <v>23</v>
      </c>
      <c r="M94" s="1">
        <v>20</v>
      </c>
      <c r="N94" s="1" t="s">
        <v>31</v>
      </c>
      <c r="O94" s="1"/>
      <c r="P94" s="1"/>
      <c r="Q94" s="1"/>
      <c r="R94" s="1"/>
      <c r="S94" s="1">
        <v>0</v>
      </c>
    </row>
    <row r="95" spans="1:19" hidden="1" x14ac:dyDescent="0.25">
      <c r="A95" s="1">
        <f>VLOOKUP(B95,'Product Cost - Price'!$B$5:$B$223,1,FALSE)</f>
        <v>483301</v>
      </c>
      <c r="B95" s="186">
        <v>483301</v>
      </c>
      <c r="C95" s="44" t="s">
        <v>221</v>
      </c>
      <c r="D95" s="1" t="s">
        <v>221</v>
      </c>
      <c r="E95" s="1" t="s">
        <v>63</v>
      </c>
      <c r="F95" s="1" t="s">
        <v>221</v>
      </c>
      <c r="G95" s="67">
        <v>0</v>
      </c>
      <c r="H95" s="1">
        <v>1.81</v>
      </c>
      <c r="I95" s="1">
        <v>0</v>
      </c>
      <c r="J95" s="1">
        <v>0</v>
      </c>
      <c r="K95" s="1" t="s">
        <v>23</v>
      </c>
      <c r="L95" s="1" t="s">
        <v>23</v>
      </c>
      <c r="M95" s="1">
        <v>0</v>
      </c>
      <c r="N95" s="1" t="s">
        <v>31</v>
      </c>
      <c r="S95" s="1">
        <v>0</v>
      </c>
    </row>
    <row r="96" spans="1:19" hidden="1" x14ac:dyDescent="0.25">
      <c r="A96" s="1">
        <f>VLOOKUP(B96,'Product Cost - Price'!$B$5:$B$223,1,FALSE)</f>
        <v>484377</v>
      </c>
      <c r="B96" s="186">
        <v>484377</v>
      </c>
      <c r="C96" s="44" t="s">
        <v>222</v>
      </c>
      <c r="D96" s="1" t="s">
        <v>222</v>
      </c>
      <c r="E96" s="1" t="s">
        <v>63</v>
      </c>
      <c r="F96" s="1" t="s">
        <v>222</v>
      </c>
      <c r="G96" s="67">
        <v>0</v>
      </c>
      <c r="H96" s="1">
        <v>14.31</v>
      </c>
      <c r="I96" s="1">
        <v>0</v>
      </c>
      <c r="J96" s="1">
        <v>0</v>
      </c>
      <c r="K96" s="1" t="s">
        <v>23</v>
      </c>
      <c r="L96" s="1" t="s">
        <v>23</v>
      </c>
      <c r="M96" s="1">
        <v>10</v>
      </c>
      <c r="N96" s="1" t="s">
        <v>31</v>
      </c>
      <c r="S96" s="1">
        <v>0</v>
      </c>
    </row>
    <row r="97" spans="1:19" hidden="1" x14ac:dyDescent="0.25">
      <c r="A97" s="1">
        <f>VLOOKUP(B97,'Product Cost - Price'!$B$5:$B$223,1,FALSE)</f>
        <v>484378</v>
      </c>
      <c r="B97" s="186">
        <v>484378</v>
      </c>
      <c r="C97" s="44" t="s">
        <v>223</v>
      </c>
      <c r="D97" s="1" t="s">
        <v>223</v>
      </c>
      <c r="E97" s="1" t="s">
        <v>63</v>
      </c>
      <c r="F97" s="1" t="s">
        <v>223</v>
      </c>
      <c r="G97" s="67">
        <v>0</v>
      </c>
      <c r="H97" s="1">
        <v>9.33</v>
      </c>
      <c r="I97" s="1">
        <v>0</v>
      </c>
      <c r="J97" s="1">
        <v>0</v>
      </c>
      <c r="K97" s="1" t="s">
        <v>23</v>
      </c>
      <c r="L97" s="1" t="s">
        <v>23</v>
      </c>
      <c r="M97" s="1">
        <v>10</v>
      </c>
      <c r="N97" s="1" t="s">
        <v>31</v>
      </c>
      <c r="S97" s="1">
        <v>0</v>
      </c>
    </row>
    <row r="98" spans="1:19" hidden="1" x14ac:dyDescent="0.25">
      <c r="A98" s="1">
        <f>VLOOKUP(B98,'Product Cost - Price'!$B$5:$B$223,1,FALSE)</f>
        <v>484379</v>
      </c>
      <c r="B98" s="186">
        <v>484379</v>
      </c>
      <c r="C98" s="44" t="s">
        <v>224</v>
      </c>
      <c r="D98" s="1" t="s">
        <v>224</v>
      </c>
      <c r="E98" s="1" t="s">
        <v>63</v>
      </c>
      <c r="F98" s="1" t="s">
        <v>224</v>
      </c>
      <c r="G98" s="67">
        <v>0</v>
      </c>
      <c r="H98" s="1">
        <v>17.329999999999998</v>
      </c>
      <c r="I98" s="1">
        <v>0</v>
      </c>
      <c r="J98" s="1">
        <v>0</v>
      </c>
      <c r="K98" s="1" t="s">
        <v>23</v>
      </c>
      <c r="L98" s="1" t="s">
        <v>23</v>
      </c>
      <c r="M98" s="1">
        <v>10</v>
      </c>
      <c r="N98" s="1" t="s">
        <v>31</v>
      </c>
      <c r="S98" s="1">
        <v>0</v>
      </c>
    </row>
    <row r="99" spans="1:19" hidden="1" x14ac:dyDescent="0.25">
      <c r="A99" s="1">
        <f>VLOOKUP(B99,'Product Cost - Price'!$B$5:$B$223,1,FALSE)</f>
        <v>484380</v>
      </c>
      <c r="B99" s="186">
        <v>484380</v>
      </c>
      <c r="C99" s="44" t="s">
        <v>225</v>
      </c>
      <c r="D99" s="1" t="s">
        <v>225</v>
      </c>
      <c r="E99" s="1" t="s">
        <v>63</v>
      </c>
      <c r="F99" s="1" t="s">
        <v>225</v>
      </c>
      <c r="G99" s="67">
        <v>0</v>
      </c>
      <c r="H99" s="1">
        <v>9.4</v>
      </c>
      <c r="I99" s="1">
        <v>0</v>
      </c>
      <c r="J99" s="1">
        <v>0</v>
      </c>
      <c r="K99" s="1" t="s">
        <v>23</v>
      </c>
      <c r="L99" s="1" t="s">
        <v>23</v>
      </c>
      <c r="M99" s="1">
        <v>10</v>
      </c>
      <c r="N99" s="1" t="s">
        <v>31</v>
      </c>
      <c r="S99" s="1">
        <v>0</v>
      </c>
    </row>
    <row r="100" spans="1:19" hidden="1" x14ac:dyDescent="0.25">
      <c r="A100" s="1">
        <f>VLOOKUP(B100,'Product Cost - Price'!$B$5:$B$223,1,FALSE)</f>
        <v>489368</v>
      </c>
      <c r="B100" s="186">
        <v>489368</v>
      </c>
      <c r="C100" s="44" t="s">
        <v>226</v>
      </c>
      <c r="D100" s="1" t="s">
        <v>226</v>
      </c>
      <c r="E100" s="1" t="s">
        <v>63</v>
      </c>
      <c r="F100" s="1" t="s">
        <v>226</v>
      </c>
      <c r="G100" s="67">
        <v>0</v>
      </c>
      <c r="H100" s="1">
        <v>34.75</v>
      </c>
      <c r="I100" s="1">
        <v>0</v>
      </c>
      <c r="J100" s="1">
        <v>0</v>
      </c>
      <c r="K100" s="1" t="s">
        <v>23</v>
      </c>
      <c r="L100" s="1" t="s">
        <v>23</v>
      </c>
      <c r="M100" s="1">
        <v>20</v>
      </c>
      <c r="N100" s="1" t="s">
        <v>31</v>
      </c>
      <c r="S100" s="1">
        <v>0</v>
      </c>
    </row>
    <row r="101" spans="1:19" hidden="1" x14ac:dyDescent="0.25">
      <c r="A101" s="1">
        <f>VLOOKUP(B101,'Product Cost - Price'!$B$5:$B$223,1,FALSE)</f>
        <v>492032</v>
      </c>
      <c r="B101" s="186">
        <v>492032</v>
      </c>
      <c r="C101" s="44" t="s">
        <v>227</v>
      </c>
      <c r="D101" s="1" t="s">
        <v>227</v>
      </c>
      <c r="E101" s="1" t="s">
        <v>63</v>
      </c>
      <c r="F101" s="1" t="s">
        <v>227</v>
      </c>
      <c r="G101" s="67">
        <v>0</v>
      </c>
      <c r="H101" s="1">
        <v>20.64</v>
      </c>
      <c r="I101" s="1">
        <v>0</v>
      </c>
      <c r="J101" s="1">
        <v>0</v>
      </c>
      <c r="K101" s="1" t="s">
        <v>23</v>
      </c>
      <c r="L101" s="1" t="s">
        <v>23</v>
      </c>
      <c r="M101" s="1">
        <v>20</v>
      </c>
      <c r="N101" s="1" t="s">
        <v>31</v>
      </c>
      <c r="S101" s="1">
        <v>0</v>
      </c>
    </row>
    <row r="102" spans="1:19" hidden="1" x14ac:dyDescent="0.25">
      <c r="A102" s="1">
        <f>VLOOKUP(B102,'Product Cost - Price'!$B$5:$B$223,1,FALSE)</f>
        <v>496354</v>
      </c>
      <c r="B102" s="186">
        <v>496354</v>
      </c>
      <c r="C102" s="1" t="s">
        <v>228</v>
      </c>
      <c r="D102" s="1" t="s">
        <v>228</v>
      </c>
      <c r="E102" s="1" t="s">
        <v>29</v>
      </c>
      <c r="F102" s="1" t="s">
        <v>229</v>
      </c>
      <c r="G102" s="67">
        <v>0.13</v>
      </c>
      <c r="H102" s="1">
        <v>0.13</v>
      </c>
      <c r="I102" s="1">
        <v>0.13</v>
      </c>
      <c r="J102" s="1">
        <v>0</v>
      </c>
      <c r="K102" s="1" t="s">
        <v>23</v>
      </c>
      <c r="L102" s="1" t="s">
        <v>23</v>
      </c>
      <c r="M102" s="1">
        <v>0</v>
      </c>
      <c r="N102" s="1" t="s">
        <v>31</v>
      </c>
      <c r="S102" s="1">
        <v>0</v>
      </c>
    </row>
    <row r="103" spans="1:19" hidden="1" x14ac:dyDescent="0.25">
      <c r="A103" s="1">
        <f>VLOOKUP(B103,'Product Cost - Price'!$B$5:$B$223,1,FALSE)</f>
        <v>497182</v>
      </c>
      <c r="B103" s="182">
        <v>497182</v>
      </c>
      <c r="C103" s="44" t="s">
        <v>230</v>
      </c>
      <c r="D103" s="1" t="s">
        <v>231</v>
      </c>
      <c r="E103" s="1" t="s">
        <v>29</v>
      </c>
      <c r="F103" s="1" t="s">
        <v>150</v>
      </c>
      <c r="G103" s="67">
        <v>18</v>
      </c>
      <c r="H103" s="1">
        <v>16.73</v>
      </c>
      <c r="I103" s="1">
        <v>23.35</v>
      </c>
      <c r="J103" s="1">
        <v>0</v>
      </c>
      <c r="K103" s="1" t="s">
        <v>23</v>
      </c>
      <c r="L103" s="1" t="s">
        <v>23</v>
      </c>
      <c r="M103" s="1">
        <v>20</v>
      </c>
      <c r="N103" s="1" t="s">
        <v>31</v>
      </c>
      <c r="S103" s="1">
        <v>9.5</v>
      </c>
    </row>
    <row r="104" spans="1:19" hidden="1" x14ac:dyDescent="0.25">
      <c r="A104" s="1">
        <f>VLOOKUP(B104,'Product Cost - Price'!$B$5:$B$223,1,FALSE)</f>
        <v>499435</v>
      </c>
      <c r="B104" s="182">
        <v>499435</v>
      </c>
      <c r="C104" s="44" t="s">
        <v>232</v>
      </c>
      <c r="D104" s="1" t="s">
        <v>233</v>
      </c>
      <c r="E104" s="1" t="s">
        <v>29</v>
      </c>
      <c r="F104" s="1" t="s">
        <v>234</v>
      </c>
      <c r="G104" s="67">
        <v>47</v>
      </c>
      <c r="H104" s="1">
        <v>43.78</v>
      </c>
      <c r="I104" s="1">
        <v>62.85</v>
      </c>
      <c r="J104" s="1">
        <v>0</v>
      </c>
      <c r="K104" s="1" t="s">
        <v>23</v>
      </c>
      <c r="L104" s="1" t="s">
        <v>23</v>
      </c>
      <c r="M104" s="1">
        <v>20</v>
      </c>
      <c r="N104" s="1" t="s">
        <v>31</v>
      </c>
      <c r="S104" s="1">
        <v>29</v>
      </c>
    </row>
    <row r="105" spans="1:19" hidden="1" x14ac:dyDescent="0.25">
      <c r="A105" s="1">
        <f>VLOOKUP(B105,'Product Cost - Price'!$B$5:$B$223,1,FALSE)</f>
        <v>500619</v>
      </c>
      <c r="B105" s="186">
        <v>500619</v>
      </c>
      <c r="C105" s="44" t="s">
        <v>235</v>
      </c>
      <c r="D105" s="1" t="s">
        <v>235</v>
      </c>
      <c r="E105" s="1" t="s">
        <v>63</v>
      </c>
      <c r="F105" s="1" t="s">
        <v>235</v>
      </c>
      <c r="G105" s="67">
        <v>0</v>
      </c>
      <c r="H105" s="1">
        <v>1.46</v>
      </c>
      <c r="I105" s="1">
        <v>0</v>
      </c>
      <c r="J105" s="1">
        <v>0</v>
      </c>
      <c r="K105" s="1" t="s">
        <v>23</v>
      </c>
      <c r="L105" s="1" t="s">
        <v>23</v>
      </c>
      <c r="M105" s="1">
        <v>0</v>
      </c>
      <c r="N105" s="1" t="s">
        <v>31</v>
      </c>
      <c r="S105" s="1">
        <v>0</v>
      </c>
    </row>
    <row r="106" spans="1:19" s="7" customFormat="1" hidden="1" x14ac:dyDescent="0.25">
      <c r="A106" s="1">
        <f>VLOOKUP(B106,'Product Cost - Price'!$B$5:$B$223,1,FALSE)</f>
        <v>501072</v>
      </c>
      <c r="B106" s="186">
        <v>501072</v>
      </c>
      <c r="C106" s="44" t="s">
        <v>236</v>
      </c>
      <c r="D106" s="1" t="s">
        <v>237</v>
      </c>
      <c r="E106" s="1" t="s">
        <v>42</v>
      </c>
      <c r="F106" s="1" t="s">
        <v>238</v>
      </c>
      <c r="G106" s="67">
        <v>23.6</v>
      </c>
      <c r="H106" s="1">
        <v>20.97</v>
      </c>
      <c r="I106" s="1">
        <v>37</v>
      </c>
      <c r="J106" s="1">
        <v>0</v>
      </c>
      <c r="K106" s="1" t="s">
        <v>23</v>
      </c>
      <c r="L106" s="1" t="s">
        <v>23</v>
      </c>
      <c r="M106" s="1">
        <v>20</v>
      </c>
      <c r="N106" s="1" t="s">
        <v>31</v>
      </c>
      <c r="O106" s="1"/>
      <c r="P106" s="1"/>
      <c r="Q106" s="1"/>
      <c r="R106" s="1"/>
      <c r="S106" s="1">
        <v>0</v>
      </c>
    </row>
    <row r="107" spans="1:19" s="7" customFormat="1" hidden="1" x14ac:dyDescent="0.25">
      <c r="A107" s="1">
        <f>VLOOKUP(B107,'Product Cost - Price'!$B$5:$B$223,1,FALSE)</f>
        <v>501073</v>
      </c>
      <c r="B107" s="186">
        <v>501073</v>
      </c>
      <c r="C107" s="44" t="s">
        <v>239</v>
      </c>
      <c r="D107" s="1" t="s">
        <v>240</v>
      </c>
      <c r="E107" s="1" t="s">
        <v>42</v>
      </c>
      <c r="F107" s="1" t="s">
        <v>241</v>
      </c>
      <c r="G107" s="67">
        <v>24.3</v>
      </c>
      <c r="H107" s="1">
        <v>21.56</v>
      </c>
      <c r="I107" s="1">
        <v>32.950000000000003</v>
      </c>
      <c r="J107" s="1">
        <v>0</v>
      </c>
      <c r="K107" s="1" t="s">
        <v>23</v>
      </c>
      <c r="L107" s="1" t="s">
        <v>23</v>
      </c>
      <c r="M107" s="1">
        <v>20</v>
      </c>
      <c r="N107" s="1" t="s">
        <v>31</v>
      </c>
      <c r="O107" s="1"/>
      <c r="P107" s="1"/>
      <c r="Q107" s="1"/>
      <c r="R107" s="1"/>
      <c r="S107" s="1">
        <v>0</v>
      </c>
    </row>
    <row r="108" spans="1:19" hidden="1" x14ac:dyDescent="0.25">
      <c r="A108" s="1">
        <f>VLOOKUP(B108,'Product Cost - Price'!$B$5:$B$223,1,FALSE)</f>
        <v>501074</v>
      </c>
      <c r="B108" s="182">
        <v>501074</v>
      </c>
      <c r="C108" s="44" t="s">
        <v>242</v>
      </c>
      <c r="D108" s="1" t="s">
        <v>242</v>
      </c>
      <c r="E108" s="1" t="s">
        <v>29</v>
      </c>
      <c r="F108" s="1" t="s">
        <v>243</v>
      </c>
      <c r="G108" s="67">
        <v>15.4</v>
      </c>
      <c r="H108" s="1">
        <v>14.33</v>
      </c>
      <c r="I108" s="1">
        <v>25.3</v>
      </c>
      <c r="J108" s="1">
        <v>0</v>
      </c>
      <c r="K108" s="1" t="s">
        <v>23</v>
      </c>
      <c r="L108" s="1" t="s">
        <v>23</v>
      </c>
      <c r="M108" s="1">
        <v>20</v>
      </c>
      <c r="N108" s="1" t="s">
        <v>31</v>
      </c>
      <c r="S108" s="1">
        <v>10.4</v>
      </c>
    </row>
    <row r="109" spans="1:19" hidden="1" x14ac:dyDescent="0.25">
      <c r="A109" s="1">
        <f>VLOOKUP(B109,'Product Cost - Price'!$B$5:$B$223,1,FALSE)</f>
        <v>501080</v>
      </c>
      <c r="B109" s="186">
        <v>501080</v>
      </c>
      <c r="C109" s="44" t="s">
        <v>244</v>
      </c>
      <c r="D109" s="1" t="s">
        <v>245</v>
      </c>
      <c r="E109" s="1" t="s">
        <v>42</v>
      </c>
      <c r="F109" s="1" t="s">
        <v>246</v>
      </c>
      <c r="G109" s="67">
        <v>23.9</v>
      </c>
      <c r="H109" s="1">
        <v>0</v>
      </c>
      <c r="I109" s="1">
        <v>38.5</v>
      </c>
      <c r="J109" s="1">
        <v>0</v>
      </c>
      <c r="K109" s="1" t="s">
        <v>23</v>
      </c>
      <c r="L109" s="1" t="s">
        <v>23</v>
      </c>
      <c r="M109" s="1">
        <v>20</v>
      </c>
      <c r="N109" s="1" t="s">
        <v>31</v>
      </c>
      <c r="S109" s="1">
        <v>0</v>
      </c>
    </row>
    <row r="110" spans="1:19" hidden="1" x14ac:dyDescent="0.25">
      <c r="A110" s="1">
        <f>VLOOKUP(B110,'Product Cost - Price'!$B$5:$B$223,1,FALSE)</f>
        <v>501775</v>
      </c>
      <c r="B110" s="182">
        <v>501775</v>
      </c>
      <c r="C110" s="44" t="s">
        <v>247</v>
      </c>
      <c r="D110" s="1" t="s">
        <v>247</v>
      </c>
      <c r="E110" s="1" t="s">
        <v>29</v>
      </c>
      <c r="F110" s="1" t="s">
        <v>248</v>
      </c>
      <c r="G110" s="67">
        <v>25.7</v>
      </c>
      <c r="H110" s="1">
        <v>23.91</v>
      </c>
      <c r="I110" s="1">
        <v>31.6</v>
      </c>
      <c r="J110" s="1">
        <v>0</v>
      </c>
      <c r="K110" s="1" t="s">
        <v>23</v>
      </c>
      <c r="L110" s="1" t="s">
        <v>23</v>
      </c>
      <c r="M110" s="1">
        <v>20</v>
      </c>
      <c r="N110" s="1" t="s">
        <v>31</v>
      </c>
      <c r="S110" s="1">
        <v>14.4</v>
      </c>
    </row>
    <row r="111" spans="1:19" hidden="1" x14ac:dyDescent="0.25">
      <c r="A111" s="1">
        <f>VLOOKUP(B111,'Product Cost - Price'!$B$5:$B$223,1,FALSE)</f>
        <v>503017</v>
      </c>
      <c r="B111" s="186">
        <v>503017</v>
      </c>
      <c r="C111" s="1" t="s">
        <v>249</v>
      </c>
      <c r="D111" s="1" t="s">
        <v>249</v>
      </c>
      <c r="E111" s="1" t="s">
        <v>29</v>
      </c>
      <c r="F111" s="1" t="s">
        <v>250</v>
      </c>
      <c r="G111" s="67">
        <v>0.13</v>
      </c>
      <c r="H111" s="1">
        <v>0.13</v>
      </c>
      <c r="I111" s="1">
        <v>0.13</v>
      </c>
      <c r="J111" s="1">
        <v>0</v>
      </c>
      <c r="K111" s="1" t="s">
        <v>23</v>
      </c>
      <c r="L111" s="1" t="s">
        <v>23</v>
      </c>
      <c r="M111" s="1">
        <v>1</v>
      </c>
      <c r="N111" s="1" t="s">
        <v>31</v>
      </c>
      <c r="S111" s="1">
        <v>0</v>
      </c>
    </row>
    <row r="112" spans="1:19" hidden="1" x14ac:dyDescent="0.25">
      <c r="A112" s="1">
        <f>VLOOKUP(B112,'Product Cost - Price'!$B$5:$B$223,1,FALSE)</f>
        <v>503634</v>
      </c>
      <c r="B112" s="182">
        <v>503634</v>
      </c>
      <c r="C112" s="44" t="s">
        <v>251</v>
      </c>
      <c r="D112" s="1" t="s">
        <v>252</v>
      </c>
      <c r="E112" s="1" t="s">
        <v>29</v>
      </c>
      <c r="F112" s="1" t="s">
        <v>251</v>
      </c>
      <c r="G112" s="67">
        <v>0.59</v>
      </c>
      <c r="H112" s="1">
        <v>0.55000000000000004</v>
      </c>
      <c r="I112" s="1">
        <v>11.1</v>
      </c>
      <c r="J112" s="1">
        <v>0</v>
      </c>
      <c r="K112" s="1" t="s">
        <v>23</v>
      </c>
      <c r="L112" s="1" t="s">
        <v>23</v>
      </c>
      <c r="M112" s="1">
        <v>1</v>
      </c>
      <c r="N112" s="1" t="s">
        <v>31</v>
      </c>
      <c r="O112" s="1">
        <v>1</v>
      </c>
      <c r="S112" s="1">
        <v>0</v>
      </c>
    </row>
    <row r="113" spans="1:19" hidden="1" x14ac:dyDescent="0.25">
      <c r="A113" s="1">
        <f>VLOOKUP(B113,'Product Cost - Price'!$B$5:$B$223,1,FALSE)</f>
        <v>503638</v>
      </c>
      <c r="B113" s="186">
        <v>503638</v>
      </c>
      <c r="C113" s="44" t="s">
        <v>253</v>
      </c>
      <c r="D113" s="1" t="s">
        <v>254</v>
      </c>
      <c r="E113" s="1" t="s">
        <v>42</v>
      </c>
      <c r="F113" s="1" t="s">
        <v>255</v>
      </c>
      <c r="G113" s="67">
        <v>26.2</v>
      </c>
      <c r="H113" s="1">
        <v>0</v>
      </c>
      <c r="I113" s="1">
        <v>41.25</v>
      </c>
      <c r="J113" s="1">
        <v>0</v>
      </c>
      <c r="K113" s="1" t="s">
        <v>23</v>
      </c>
      <c r="L113" s="1" t="s">
        <v>23</v>
      </c>
      <c r="M113" s="1">
        <v>0</v>
      </c>
      <c r="N113" s="1" t="s">
        <v>31</v>
      </c>
      <c r="S113" s="1">
        <v>0</v>
      </c>
    </row>
    <row r="114" spans="1:19" hidden="1" x14ac:dyDescent="0.25">
      <c r="A114" s="1">
        <f>VLOOKUP(B114,'Product Cost - Price'!$B$5:$B$223,1,FALSE)</f>
        <v>503902</v>
      </c>
      <c r="B114" s="186">
        <v>503902</v>
      </c>
      <c r="C114" s="44" t="s">
        <v>256</v>
      </c>
      <c r="D114" s="1" t="s">
        <v>256</v>
      </c>
      <c r="E114" s="1" t="s">
        <v>63</v>
      </c>
      <c r="F114" s="1" t="s">
        <v>256</v>
      </c>
      <c r="G114" s="67">
        <v>0</v>
      </c>
      <c r="H114" s="1">
        <v>1.81</v>
      </c>
      <c r="I114" s="1">
        <v>0</v>
      </c>
      <c r="J114" s="1">
        <v>0</v>
      </c>
      <c r="K114" s="1" t="s">
        <v>23</v>
      </c>
      <c r="L114" s="1" t="s">
        <v>23</v>
      </c>
      <c r="M114" s="1">
        <v>0</v>
      </c>
      <c r="N114" s="1" t="s">
        <v>31</v>
      </c>
      <c r="S114" s="1">
        <v>0</v>
      </c>
    </row>
    <row r="115" spans="1:19" hidden="1" x14ac:dyDescent="0.25">
      <c r="A115" s="1">
        <f>VLOOKUP(B115,'Product Cost - Price'!$B$5:$B$223,1,FALSE)</f>
        <v>504508</v>
      </c>
      <c r="B115" s="182">
        <v>504508</v>
      </c>
      <c r="C115" s="44" t="s">
        <v>257</v>
      </c>
      <c r="D115" s="1" t="s">
        <v>257</v>
      </c>
      <c r="E115" s="1" t="s">
        <v>29</v>
      </c>
      <c r="F115" s="1" t="s">
        <v>257</v>
      </c>
      <c r="G115" s="67">
        <v>0.84</v>
      </c>
      <c r="H115" s="1">
        <v>0.78</v>
      </c>
      <c r="I115" s="1">
        <v>1.08</v>
      </c>
      <c r="J115" s="1">
        <v>0</v>
      </c>
      <c r="K115" s="1" t="s">
        <v>23</v>
      </c>
      <c r="L115" s="1" t="s">
        <v>23</v>
      </c>
      <c r="M115" s="1">
        <v>0</v>
      </c>
      <c r="N115" s="1" t="s">
        <v>31</v>
      </c>
      <c r="S115" s="1">
        <v>0</v>
      </c>
    </row>
    <row r="116" spans="1:19" hidden="1" x14ac:dyDescent="0.25">
      <c r="A116" s="1">
        <f>VLOOKUP(B116,'Product Cost - Price'!$B$5:$B$223,1,FALSE)</f>
        <v>508411</v>
      </c>
      <c r="B116" s="186">
        <v>508411</v>
      </c>
      <c r="C116" s="44" t="s">
        <v>258</v>
      </c>
      <c r="D116" s="1" t="s">
        <v>258</v>
      </c>
      <c r="E116" s="1" t="s">
        <v>63</v>
      </c>
      <c r="F116" s="1" t="s">
        <v>258</v>
      </c>
      <c r="G116" s="67">
        <v>0</v>
      </c>
      <c r="H116" s="1">
        <v>0</v>
      </c>
      <c r="I116" s="1">
        <v>0</v>
      </c>
      <c r="J116" s="1">
        <v>0</v>
      </c>
      <c r="K116" s="1" t="s">
        <v>23</v>
      </c>
      <c r="L116" s="1" t="s">
        <v>23</v>
      </c>
      <c r="M116" s="1">
        <v>20</v>
      </c>
      <c r="N116" s="1" t="s">
        <v>31</v>
      </c>
      <c r="S116" s="1">
        <v>0</v>
      </c>
    </row>
    <row r="117" spans="1:19" hidden="1" x14ac:dyDescent="0.25">
      <c r="A117" s="1">
        <f>VLOOKUP(B117,'Product Cost - Price'!$B$5:$B$223,1,FALSE)</f>
        <v>509150</v>
      </c>
      <c r="B117" s="182">
        <v>509150</v>
      </c>
      <c r="C117" s="44" t="s">
        <v>259</v>
      </c>
      <c r="D117" s="1" t="s">
        <v>259</v>
      </c>
      <c r="E117" s="1" t="s">
        <v>29</v>
      </c>
      <c r="F117" s="1" t="s">
        <v>259</v>
      </c>
      <c r="G117" s="67">
        <v>1.61</v>
      </c>
      <c r="H117" s="1">
        <v>1.5</v>
      </c>
      <c r="I117" s="1">
        <v>2.4500000000000002</v>
      </c>
      <c r="J117" s="1">
        <v>0</v>
      </c>
      <c r="K117" s="1" t="s">
        <v>23</v>
      </c>
      <c r="L117" s="1" t="s">
        <v>23</v>
      </c>
      <c r="M117" s="1">
        <v>0</v>
      </c>
      <c r="N117" s="1" t="s">
        <v>31</v>
      </c>
      <c r="S117" s="1">
        <v>0</v>
      </c>
    </row>
    <row r="118" spans="1:19" hidden="1" x14ac:dyDescent="0.25">
      <c r="A118" s="1">
        <f>VLOOKUP(B118,'Product Cost - Price'!$B$5:$B$223,1,FALSE)</f>
        <v>516886</v>
      </c>
      <c r="B118" s="182">
        <v>516886</v>
      </c>
      <c r="C118" s="44" t="s">
        <v>260</v>
      </c>
      <c r="D118" s="1" t="s">
        <v>260</v>
      </c>
      <c r="E118" s="1" t="s">
        <v>261</v>
      </c>
      <c r="F118" s="1" t="s">
        <v>262</v>
      </c>
      <c r="G118" s="67">
        <v>20.9</v>
      </c>
      <c r="H118" s="1">
        <v>18.5</v>
      </c>
      <c r="I118" s="1">
        <v>29.85</v>
      </c>
      <c r="J118" s="1">
        <v>0</v>
      </c>
      <c r="K118" s="1" t="s">
        <v>23</v>
      </c>
      <c r="L118" s="1" t="s">
        <v>23</v>
      </c>
      <c r="M118" s="1">
        <v>20</v>
      </c>
      <c r="N118" s="1" t="s">
        <v>31</v>
      </c>
      <c r="S118" s="1">
        <v>0</v>
      </c>
    </row>
    <row r="119" spans="1:19" hidden="1" x14ac:dyDescent="0.25">
      <c r="A119" s="1">
        <f>VLOOKUP(B119,'Product Cost - Price'!$B$5:$B$223,1,FALSE)</f>
        <v>516887</v>
      </c>
      <c r="B119" s="182">
        <v>516887</v>
      </c>
      <c r="C119" s="44" t="s">
        <v>263</v>
      </c>
      <c r="D119" s="1" t="s">
        <v>263</v>
      </c>
      <c r="E119" s="1" t="s">
        <v>29</v>
      </c>
      <c r="F119" s="1" t="s">
        <v>264</v>
      </c>
      <c r="G119" s="67">
        <v>20.7</v>
      </c>
      <c r="H119" s="1">
        <v>19.29</v>
      </c>
      <c r="I119" s="1">
        <v>27.85</v>
      </c>
      <c r="J119" s="1">
        <v>0</v>
      </c>
      <c r="K119" s="1" t="s">
        <v>23</v>
      </c>
      <c r="L119" s="1" t="s">
        <v>23</v>
      </c>
      <c r="M119" s="1">
        <v>0</v>
      </c>
      <c r="N119" s="1" t="s">
        <v>31</v>
      </c>
      <c r="S119" s="1">
        <v>11.9</v>
      </c>
    </row>
    <row r="120" spans="1:19" hidden="1" x14ac:dyDescent="0.25">
      <c r="A120" s="1">
        <f>VLOOKUP(B120,'Product Cost - Price'!$B$5:$B$223,1,FALSE)</f>
        <v>517311</v>
      </c>
      <c r="B120" s="182">
        <v>517311</v>
      </c>
      <c r="C120" s="44" t="s">
        <v>265</v>
      </c>
      <c r="D120" s="1" t="s">
        <v>265</v>
      </c>
      <c r="E120" s="1" t="s">
        <v>63</v>
      </c>
      <c r="F120" s="1" t="s">
        <v>265</v>
      </c>
      <c r="G120" s="67">
        <v>0</v>
      </c>
      <c r="H120" s="1">
        <v>38.549999999999997</v>
      </c>
      <c r="I120" s="1">
        <v>0</v>
      </c>
      <c r="J120" s="1">
        <v>0</v>
      </c>
      <c r="K120" s="1" t="s">
        <v>23</v>
      </c>
      <c r="L120" s="1" t="s">
        <v>23</v>
      </c>
      <c r="M120" s="1">
        <v>20</v>
      </c>
      <c r="N120" s="1" t="s">
        <v>31</v>
      </c>
      <c r="S120" s="1">
        <v>0</v>
      </c>
    </row>
    <row r="121" spans="1:19" hidden="1" x14ac:dyDescent="0.25">
      <c r="A121" s="1">
        <f>VLOOKUP(B121,'Product Cost - Price'!$B$5:$B$223,1,FALSE)</f>
        <v>517312</v>
      </c>
      <c r="B121" s="182">
        <v>517312</v>
      </c>
      <c r="C121" s="44" t="s">
        <v>266</v>
      </c>
      <c r="D121" s="1" t="s">
        <v>266</v>
      </c>
      <c r="E121" s="1" t="s">
        <v>63</v>
      </c>
      <c r="F121" s="1" t="s">
        <v>266</v>
      </c>
      <c r="G121" s="67">
        <v>0</v>
      </c>
      <c r="H121" s="1">
        <v>25.49</v>
      </c>
      <c r="I121" s="1">
        <v>0</v>
      </c>
      <c r="J121" s="1">
        <v>0</v>
      </c>
      <c r="K121" s="1" t="s">
        <v>23</v>
      </c>
      <c r="L121" s="1" t="s">
        <v>23</v>
      </c>
      <c r="M121" s="1">
        <v>20</v>
      </c>
      <c r="N121" s="1" t="s">
        <v>31</v>
      </c>
      <c r="S121" s="1">
        <v>0</v>
      </c>
    </row>
    <row r="122" spans="1:19" hidden="1" x14ac:dyDescent="0.25">
      <c r="A122" s="1">
        <f>VLOOKUP(B122,'Product Cost - Price'!$B$5:$B$223,1,FALSE)</f>
        <v>517313</v>
      </c>
      <c r="B122" s="182">
        <v>517313</v>
      </c>
      <c r="C122" s="44" t="s">
        <v>267</v>
      </c>
      <c r="D122" s="1" t="s">
        <v>267</v>
      </c>
      <c r="E122" s="1" t="s">
        <v>29</v>
      </c>
      <c r="F122" s="1" t="s">
        <v>268</v>
      </c>
      <c r="G122" s="67">
        <v>33.299999999999997</v>
      </c>
      <c r="H122" s="1">
        <v>33</v>
      </c>
      <c r="I122" s="1">
        <v>55</v>
      </c>
      <c r="J122" s="1">
        <v>0</v>
      </c>
      <c r="K122" s="1" t="s">
        <v>23</v>
      </c>
      <c r="L122" s="1" t="s">
        <v>23</v>
      </c>
      <c r="M122" s="1">
        <v>20</v>
      </c>
      <c r="N122" s="1" t="s">
        <v>31</v>
      </c>
      <c r="S122" s="1">
        <v>20.399999999999999</v>
      </c>
    </row>
    <row r="123" spans="1:19" hidden="1" x14ac:dyDescent="0.25">
      <c r="A123" s="1">
        <f>VLOOKUP(B123,'Product Cost - Price'!$B$5:$B$223,1,FALSE)</f>
        <v>520015</v>
      </c>
      <c r="B123" s="182">
        <v>520015</v>
      </c>
      <c r="C123" s="44" t="s">
        <v>269</v>
      </c>
      <c r="D123" s="1" t="s">
        <v>269</v>
      </c>
      <c r="E123" s="1" t="s">
        <v>29</v>
      </c>
      <c r="F123" s="1" t="s">
        <v>264</v>
      </c>
      <c r="G123" s="67">
        <v>20.100000000000001</v>
      </c>
      <c r="H123" s="1">
        <v>18.68</v>
      </c>
      <c r="I123" s="1">
        <v>26.75</v>
      </c>
      <c r="J123" s="1">
        <v>0</v>
      </c>
      <c r="K123" s="1" t="s">
        <v>23</v>
      </c>
      <c r="L123" s="1" t="s">
        <v>23</v>
      </c>
      <c r="M123" s="1">
        <v>0</v>
      </c>
      <c r="N123" s="1" t="s">
        <v>31</v>
      </c>
      <c r="S123" s="1">
        <v>11.9</v>
      </c>
    </row>
    <row r="124" spans="1:19" hidden="1" x14ac:dyDescent="0.25">
      <c r="A124" s="1">
        <f>VLOOKUP(B124,'Product Cost - Price'!$B$5:$B$223,1,FALSE)</f>
        <v>534727</v>
      </c>
      <c r="B124" s="182">
        <v>534727</v>
      </c>
      <c r="C124" s="44" t="s">
        <v>270</v>
      </c>
      <c r="D124" s="1" t="s">
        <v>270</v>
      </c>
      <c r="E124" s="1" t="s">
        <v>261</v>
      </c>
      <c r="F124" s="1" t="s">
        <v>262</v>
      </c>
      <c r="G124" s="67">
        <v>1.02</v>
      </c>
      <c r="H124" s="1">
        <v>0.91</v>
      </c>
      <c r="I124" s="1">
        <v>2.5499999999999998</v>
      </c>
      <c r="J124" s="1">
        <v>0</v>
      </c>
      <c r="K124" s="1" t="s">
        <v>23</v>
      </c>
      <c r="L124" s="1" t="s">
        <v>23</v>
      </c>
      <c r="M124" s="1">
        <v>1000</v>
      </c>
      <c r="N124" s="1" t="s">
        <v>31</v>
      </c>
      <c r="S124" s="1">
        <v>0</v>
      </c>
    </row>
    <row r="125" spans="1:19" hidden="1" x14ac:dyDescent="0.25">
      <c r="A125" s="1">
        <f>VLOOKUP(B125,'Product Cost - Price'!$B$5:$B$223,1,FALSE)</f>
        <v>540725</v>
      </c>
      <c r="B125" s="186">
        <v>540725</v>
      </c>
      <c r="C125" s="44" t="s">
        <v>271</v>
      </c>
      <c r="D125" s="1" t="s">
        <v>272</v>
      </c>
      <c r="E125" s="1" t="s">
        <v>42</v>
      </c>
      <c r="F125" s="1" t="s">
        <v>271</v>
      </c>
      <c r="G125" s="67">
        <v>16</v>
      </c>
      <c r="H125" s="1">
        <v>0</v>
      </c>
      <c r="I125" s="1">
        <v>30</v>
      </c>
      <c r="J125" s="1">
        <v>0</v>
      </c>
      <c r="K125" s="1" t="s">
        <v>23</v>
      </c>
      <c r="L125" s="1" t="s">
        <v>23</v>
      </c>
      <c r="M125" s="1">
        <v>20</v>
      </c>
      <c r="N125" s="1" t="s">
        <v>31</v>
      </c>
      <c r="S125" s="1">
        <v>0</v>
      </c>
    </row>
    <row r="126" spans="1:19" hidden="1" x14ac:dyDescent="0.25">
      <c r="A126" s="1">
        <f>VLOOKUP(B126,'Product Cost - Price'!$B$5:$B$223,1,FALSE)</f>
        <v>540814</v>
      </c>
      <c r="B126" s="186">
        <v>540814</v>
      </c>
      <c r="C126" s="44" t="s">
        <v>273</v>
      </c>
      <c r="D126" s="1" t="s">
        <v>274</v>
      </c>
      <c r="E126" s="1" t="s">
        <v>196</v>
      </c>
      <c r="F126" s="1" t="s">
        <v>275</v>
      </c>
      <c r="G126" s="67">
        <v>33.5</v>
      </c>
      <c r="H126" s="1">
        <v>28.4</v>
      </c>
      <c r="I126" s="1">
        <v>0</v>
      </c>
      <c r="J126" s="1">
        <v>0</v>
      </c>
      <c r="K126" s="1" t="s">
        <v>23</v>
      </c>
      <c r="L126" s="1" t="s">
        <v>23</v>
      </c>
      <c r="M126" s="1">
        <v>12</v>
      </c>
      <c r="N126" s="1" t="s">
        <v>31</v>
      </c>
      <c r="O126" s="1">
        <v>8</v>
      </c>
      <c r="S126" s="1">
        <v>0</v>
      </c>
    </row>
    <row r="127" spans="1:19" hidden="1" x14ac:dyDescent="0.25">
      <c r="A127" s="1">
        <f>VLOOKUP(B127,'Product Cost - Price'!$B$5:$B$223,1,FALSE)</f>
        <v>540815</v>
      </c>
      <c r="B127" s="186">
        <v>540815</v>
      </c>
      <c r="C127" s="44" t="s">
        <v>276</v>
      </c>
      <c r="D127" s="1" t="s">
        <v>277</v>
      </c>
      <c r="E127" s="1" t="s">
        <v>196</v>
      </c>
      <c r="F127" s="1" t="s">
        <v>275</v>
      </c>
      <c r="G127" s="67">
        <v>22.4</v>
      </c>
      <c r="H127" s="1">
        <v>18.600000000000001</v>
      </c>
      <c r="I127" s="1">
        <v>0</v>
      </c>
      <c r="J127" s="1">
        <v>0</v>
      </c>
      <c r="K127" s="1" t="s">
        <v>23</v>
      </c>
      <c r="L127" s="1" t="s">
        <v>23</v>
      </c>
      <c r="M127" s="1">
        <v>12</v>
      </c>
      <c r="N127" s="1" t="s">
        <v>31</v>
      </c>
      <c r="O127" s="1">
        <v>8</v>
      </c>
      <c r="S127" s="1">
        <v>0</v>
      </c>
    </row>
    <row r="128" spans="1:19" hidden="1" x14ac:dyDescent="0.25">
      <c r="A128" s="1">
        <f>VLOOKUP(B128,'Product Cost - Price'!$B$5:$B$223,1,FALSE)</f>
        <v>540816</v>
      </c>
      <c r="B128" s="186">
        <v>540816</v>
      </c>
      <c r="C128" s="44" t="s">
        <v>278</v>
      </c>
      <c r="D128" s="1" t="s">
        <v>279</v>
      </c>
      <c r="E128" s="1" t="s">
        <v>196</v>
      </c>
      <c r="F128" s="1" t="s">
        <v>275</v>
      </c>
      <c r="G128" s="67">
        <v>29.5</v>
      </c>
      <c r="H128" s="1">
        <v>25.5</v>
      </c>
      <c r="I128" s="1">
        <v>0</v>
      </c>
      <c r="J128" s="1">
        <v>0</v>
      </c>
      <c r="K128" s="1" t="s">
        <v>23</v>
      </c>
      <c r="L128" s="1" t="s">
        <v>23</v>
      </c>
      <c r="M128" s="1">
        <v>12</v>
      </c>
      <c r="N128" s="1" t="s">
        <v>31</v>
      </c>
      <c r="O128" s="1">
        <v>8</v>
      </c>
      <c r="S128" s="1">
        <v>0</v>
      </c>
    </row>
    <row r="129" spans="1:19" hidden="1" x14ac:dyDescent="0.25">
      <c r="A129" s="1">
        <f>VLOOKUP(B129,'Product Cost - Price'!$B$5:$B$223,1,FALSE)</f>
        <v>540817</v>
      </c>
      <c r="B129" s="186">
        <v>540817</v>
      </c>
      <c r="C129" s="44" t="s">
        <v>280</v>
      </c>
      <c r="D129" s="1" t="s">
        <v>281</v>
      </c>
      <c r="E129" s="1" t="s">
        <v>196</v>
      </c>
      <c r="F129" s="1" t="s">
        <v>275</v>
      </c>
      <c r="G129" s="67">
        <v>22.5</v>
      </c>
      <c r="H129" s="1">
        <v>18.899999999999999</v>
      </c>
      <c r="I129" s="1">
        <v>0</v>
      </c>
      <c r="J129" s="1">
        <v>0</v>
      </c>
      <c r="K129" s="1" t="s">
        <v>23</v>
      </c>
      <c r="L129" s="1" t="s">
        <v>23</v>
      </c>
      <c r="M129" s="1">
        <v>12</v>
      </c>
      <c r="N129" s="1" t="s">
        <v>31</v>
      </c>
      <c r="O129" s="1">
        <v>8</v>
      </c>
      <c r="S129" s="1">
        <v>0</v>
      </c>
    </row>
    <row r="130" spans="1:19" hidden="1" x14ac:dyDescent="0.25">
      <c r="A130" s="1">
        <f>VLOOKUP(B130,'Product Cost - Price'!$B$5:$B$223,1,FALSE)</f>
        <v>540937</v>
      </c>
      <c r="B130" s="186">
        <v>540937</v>
      </c>
      <c r="C130" s="44" t="s">
        <v>282</v>
      </c>
      <c r="D130" s="1" t="s">
        <v>282</v>
      </c>
      <c r="E130" s="1" t="s">
        <v>63</v>
      </c>
      <c r="F130" s="1" t="s">
        <v>282</v>
      </c>
      <c r="G130" s="67">
        <v>0</v>
      </c>
      <c r="H130" s="1">
        <v>1.76</v>
      </c>
      <c r="I130" s="1">
        <v>0</v>
      </c>
      <c r="J130" s="1">
        <v>0</v>
      </c>
      <c r="K130" s="1" t="s">
        <v>23</v>
      </c>
      <c r="L130" s="1" t="s">
        <v>23</v>
      </c>
      <c r="M130" s="1">
        <v>0</v>
      </c>
      <c r="N130" s="1" t="s">
        <v>31</v>
      </c>
      <c r="S130" s="1">
        <v>0</v>
      </c>
    </row>
    <row r="131" spans="1:19" hidden="1" x14ac:dyDescent="0.25">
      <c r="A131" s="1">
        <f>VLOOKUP(B131,'Product Cost - Price'!$B$5:$B$223,1,FALSE)</f>
        <v>541155</v>
      </c>
      <c r="B131" s="182">
        <v>541155</v>
      </c>
      <c r="C131" s="44" t="s">
        <v>283</v>
      </c>
      <c r="D131" s="1" t="s">
        <v>283</v>
      </c>
      <c r="E131" s="1" t="s">
        <v>63</v>
      </c>
      <c r="F131" s="1" t="s">
        <v>284</v>
      </c>
      <c r="G131" s="67">
        <v>18.2</v>
      </c>
      <c r="H131" s="1">
        <v>0</v>
      </c>
      <c r="I131" s="1">
        <v>0</v>
      </c>
      <c r="J131" s="1">
        <v>0</v>
      </c>
      <c r="K131" s="1" t="s">
        <v>23</v>
      </c>
      <c r="L131" s="1" t="s">
        <v>23</v>
      </c>
      <c r="M131" s="1">
        <v>20</v>
      </c>
      <c r="N131" s="1" t="s">
        <v>31</v>
      </c>
      <c r="S131" s="1">
        <v>0</v>
      </c>
    </row>
    <row r="132" spans="1:19" hidden="1" x14ac:dyDescent="0.25">
      <c r="A132" s="1" t="e">
        <f>VLOOKUP(B132,'Product Cost - Price'!$B$5:$B$223,1,FALSE)</f>
        <v>#N/A</v>
      </c>
      <c r="B132" s="183">
        <v>541156</v>
      </c>
      <c r="C132" s="7" t="s">
        <v>285</v>
      </c>
      <c r="D132" s="1" t="s">
        <v>285</v>
      </c>
      <c r="E132" s="1" t="s">
        <v>63</v>
      </c>
      <c r="F132" s="1" t="s">
        <v>286</v>
      </c>
      <c r="G132" s="67">
        <v>18</v>
      </c>
      <c r="H132" s="1">
        <v>0</v>
      </c>
      <c r="I132" s="1">
        <v>0</v>
      </c>
      <c r="J132" s="1">
        <v>0</v>
      </c>
      <c r="K132" s="1" t="s">
        <v>23</v>
      </c>
      <c r="L132" s="1" t="s">
        <v>23</v>
      </c>
      <c r="M132" s="1">
        <v>20</v>
      </c>
      <c r="N132" s="1" t="s">
        <v>31</v>
      </c>
      <c r="S132" s="1">
        <v>0</v>
      </c>
    </row>
    <row r="133" spans="1:19" hidden="1" x14ac:dyDescent="0.25">
      <c r="A133" s="1">
        <f>VLOOKUP(B133,'Product Cost - Price'!$B$5:$B$223,1,FALSE)</f>
        <v>541157</v>
      </c>
      <c r="B133" s="182">
        <v>541157</v>
      </c>
      <c r="C133" s="44" t="s">
        <v>287</v>
      </c>
      <c r="D133" s="1" t="s">
        <v>287</v>
      </c>
      <c r="E133" s="1" t="s">
        <v>63</v>
      </c>
      <c r="F133" s="1" t="s">
        <v>287</v>
      </c>
      <c r="G133" s="67">
        <v>19.2</v>
      </c>
      <c r="H133" s="1">
        <v>0</v>
      </c>
      <c r="I133" s="1">
        <v>0</v>
      </c>
      <c r="J133" s="1">
        <v>0</v>
      </c>
      <c r="K133" s="1" t="s">
        <v>23</v>
      </c>
      <c r="L133" s="1" t="s">
        <v>23</v>
      </c>
      <c r="M133" s="1">
        <v>20</v>
      </c>
      <c r="N133" s="1" t="s">
        <v>31</v>
      </c>
      <c r="S133" s="1">
        <v>0</v>
      </c>
    </row>
    <row r="134" spans="1:19" hidden="1" x14ac:dyDescent="0.25">
      <c r="A134" s="1">
        <f>VLOOKUP(B134,'Product Cost - Price'!$B$5:$B$223,1,FALSE)</f>
        <v>541158</v>
      </c>
      <c r="B134" s="182">
        <v>541158</v>
      </c>
      <c r="C134" s="44" t="s">
        <v>288</v>
      </c>
      <c r="D134" s="1" t="s">
        <v>288</v>
      </c>
      <c r="E134" s="1" t="s">
        <v>63</v>
      </c>
      <c r="F134" s="1" t="s">
        <v>289</v>
      </c>
      <c r="G134" s="67">
        <v>31.2</v>
      </c>
      <c r="H134" s="1">
        <v>0</v>
      </c>
      <c r="I134" s="1">
        <v>0</v>
      </c>
      <c r="J134" s="1">
        <v>0</v>
      </c>
      <c r="K134" s="1" t="s">
        <v>23</v>
      </c>
      <c r="L134" s="1" t="s">
        <v>23</v>
      </c>
      <c r="M134" s="1">
        <v>20</v>
      </c>
      <c r="N134" s="1" t="s">
        <v>31</v>
      </c>
      <c r="S134" s="1">
        <v>0</v>
      </c>
    </row>
    <row r="135" spans="1:19" hidden="1" x14ac:dyDescent="0.25">
      <c r="A135" s="1">
        <f>VLOOKUP(B135,'Product Cost - Price'!$B$5:$B$223,1,FALSE)</f>
        <v>541285</v>
      </c>
      <c r="B135" s="182">
        <v>541285</v>
      </c>
      <c r="C135" s="44" t="s">
        <v>290</v>
      </c>
      <c r="D135" s="1" t="s">
        <v>290</v>
      </c>
      <c r="E135" s="1" t="s">
        <v>63</v>
      </c>
      <c r="G135" s="67">
        <v>34.4</v>
      </c>
      <c r="H135" s="1">
        <v>0</v>
      </c>
      <c r="I135" s="1">
        <v>0</v>
      </c>
      <c r="J135" s="1">
        <v>0</v>
      </c>
      <c r="K135" s="1" t="s">
        <v>23</v>
      </c>
      <c r="L135" s="1" t="s">
        <v>23</v>
      </c>
      <c r="M135" s="1">
        <v>20</v>
      </c>
      <c r="N135" s="1" t="s">
        <v>31</v>
      </c>
      <c r="S135" s="1">
        <v>0</v>
      </c>
    </row>
    <row r="136" spans="1:19" hidden="1" x14ac:dyDescent="0.25">
      <c r="A136" s="1">
        <f>VLOOKUP(B136,'Product Cost - Price'!$B$5:$B$223,1,FALSE)</f>
        <v>541286</v>
      </c>
      <c r="B136" s="182">
        <v>541286</v>
      </c>
      <c r="C136" s="44" t="s">
        <v>291</v>
      </c>
      <c r="D136" s="1" t="s">
        <v>291</v>
      </c>
      <c r="E136" s="1" t="s">
        <v>196</v>
      </c>
      <c r="G136" s="67">
        <v>41.7</v>
      </c>
      <c r="H136" s="1">
        <v>0</v>
      </c>
      <c r="I136" s="1">
        <v>0</v>
      </c>
      <c r="J136" s="1">
        <v>0</v>
      </c>
      <c r="K136" s="1" t="s">
        <v>23</v>
      </c>
      <c r="L136" s="1" t="s">
        <v>23</v>
      </c>
      <c r="M136" s="1">
        <v>20</v>
      </c>
      <c r="N136" s="1" t="s">
        <v>31</v>
      </c>
      <c r="S136" s="1">
        <v>0</v>
      </c>
    </row>
    <row r="137" spans="1:19" hidden="1" x14ac:dyDescent="0.25">
      <c r="A137" s="1">
        <f>VLOOKUP(B137,'Product Cost - Price'!$B$5:$B$223,1,FALSE)</f>
        <v>541287</v>
      </c>
      <c r="B137" s="182">
        <v>541287</v>
      </c>
      <c r="C137" s="44" t="s">
        <v>292</v>
      </c>
      <c r="D137" s="1" t="s">
        <v>292</v>
      </c>
      <c r="E137" s="1" t="s">
        <v>196</v>
      </c>
      <c r="G137" s="67">
        <v>38.5</v>
      </c>
      <c r="H137" s="1">
        <v>0</v>
      </c>
      <c r="I137" s="1">
        <v>0</v>
      </c>
      <c r="J137" s="1">
        <v>0</v>
      </c>
      <c r="K137" s="1" t="s">
        <v>23</v>
      </c>
      <c r="L137" s="1" t="s">
        <v>23</v>
      </c>
      <c r="M137" s="1">
        <v>20</v>
      </c>
      <c r="N137" s="1" t="s">
        <v>31</v>
      </c>
      <c r="S137" s="1">
        <v>0</v>
      </c>
    </row>
    <row r="138" spans="1:19" s="7" customFormat="1" hidden="1" x14ac:dyDescent="0.25">
      <c r="A138" s="1">
        <f>VLOOKUP(B138,'Product Cost - Price'!$B$5:$B$223,1,FALSE)</f>
        <v>542627</v>
      </c>
      <c r="B138" s="182">
        <v>542627</v>
      </c>
      <c r="C138" s="44" t="s">
        <v>293</v>
      </c>
      <c r="D138" s="1" t="s">
        <v>294</v>
      </c>
      <c r="E138" s="1" t="s">
        <v>29</v>
      </c>
      <c r="F138" s="1" t="s">
        <v>293</v>
      </c>
      <c r="G138" s="67">
        <v>0.93</v>
      </c>
      <c r="H138" s="1">
        <v>0.86</v>
      </c>
      <c r="I138" s="1">
        <v>1.52</v>
      </c>
      <c r="J138" s="1">
        <v>0</v>
      </c>
      <c r="K138" s="1" t="s">
        <v>23</v>
      </c>
      <c r="L138" s="1" t="s">
        <v>23</v>
      </c>
      <c r="M138" s="1">
        <v>0</v>
      </c>
      <c r="N138" s="1" t="s">
        <v>23</v>
      </c>
      <c r="O138" s="1"/>
      <c r="P138" s="1"/>
      <c r="Q138" s="1"/>
      <c r="R138" s="1"/>
      <c r="S138" s="1">
        <v>0</v>
      </c>
    </row>
    <row r="139" spans="1:19" hidden="1" x14ac:dyDescent="0.25">
      <c r="A139" s="1">
        <f>VLOOKUP(B139,'Product Cost - Price'!$B$5:$B$223,1,FALSE)</f>
        <v>542686</v>
      </c>
      <c r="B139" s="182">
        <v>542686</v>
      </c>
      <c r="C139" s="44" t="s">
        <v>295</v>
      </c>
      <c r="D139" s="1" t="s">
        <v>295</v>
      </c>
      <c r="E139" s="1" t="s">
        <v>29</v>
      </c>
      <c r="F139" s="1" t="s">
        <v>296</v>
      </c>
      <c r="G139" s="67">
        <v>2.3199999999999998</v>
      </c>
      <c r="H139" s="1">
        <v>2.17</v>
      </c>
      <c r="I139" s="1">
        <v>3.03</v>
      </c>
      <c r="J139" s="1">
        <v>0</v>
      </c>
      <c r="K139" s="1" t="s">
        <v>23</v>
      </c>
      <c r="L139" s="1" t="s">
        <v>23</v>
      </c>
      <c r="M139" s="1">
        <v>1</v>
      </c>
      <c r="N139" s="1" t="s">
        <v>23</v>
      </c>
      <c r="S139" s="1">
        <v>0</v>
      </c>
    </row>
    <row r="140" spans="1:19" hidden="1" x14ac:dyDescent="0.25">
      <c r="A140" s="1">
        <f>VLOOKUP(B140,'Product Cost - Price'!$B$5:$B$223,1,FALSE)</f>
        <v>543028</v>
      </c>
      <c r="B140" s="182">
        <v>543028</v>
      </c>
      <c r="C140" s="44" t="s">
        <v>297</v>
      </c>
      <c r="D140" s="1" t="s">
        <v>297</v>
      </c>
      <c r="E140" s="1" t="s">
        <v>29</v>
      </c>
      <c r="F140" s="1" t="s">
        <v>297</v>
      </c>
      <c r="G140" s="67">
        <v>0.98</v>
      </c>
      <c r="H140" s="1">
        <v>0.91</v>
      </c>
      <c r="I140" s="1">
        <v>1.3</v>
      </c>
      <c r="J140" s="1">
        <v>0</v>
      </c>
      <c r="K140" s="1" t="s">
        <v>23</v>
      </c>
      <c r="L140" s="1" t="s">
        <v>23</v>
      </c>
      <c r="M140" s="1">
        <v>0</v>
      </c>
      <c r="N140" s="1" t="s">
        <v>23</v>
      </c>
      <c r="S140" s="1">
        <v>0</v>
      </c>
    </row>
    <row r="141" spans="1:19" s="7" customFormat="1" hidden="1" x14ac:dyDescent="0.25">
      <c r="A141" s="1">
        <f>VLOOKUP(B141,'Product Cost - Price'!$B$5:$B$223,1,FALSE)</f>
        <v>543452</v>
      </c>
      <c r="B141" s="186">
        <v>543452</v>
      </c>
      <c r="C141" s="1" t="s">
        <v>298</v>
      </c>
      <c r="D141" s="1" t="s">
        <v>298</v>
      </c>
      <c r="E141" s="1" t="s">
        <v>100</v>
      </c>
      <c r="F141" s="1" t="s">
        <v>299</v>
      </c>
      <c r="G141" s="67">
        <v>22</v>
      </c>
      <c r="H141" s="1">
        <v>22</v>
      </c>
      <c r="I141" s="1">
        <v>22</v>
      </c>
      <c r="J141" s="1">
        <v>0</v>
      </c>
      <c r="K141" s="1" t="s">
        <v>23</v>
      </c>
      <c r="L141" s="1" t="s">
        <v>23</v>
      </c>
      <c r="M141" s="1">
        <v>25</v>
      </c>
      <c r="N141" s="1" t="s">
        <v>23</v>
      </c>
      <c r="O141" s="1"/>
      <c r="P141" s="1"/>
      <c r="Q141" s="1"/>
      <c r="R141" s="1"/>
      <c r="S141" s="1">
        <v>0</v>
      </c>
    </row>
    <row r="142" spans="1:19" hidden="1" x14ac:dyDescent="0.25">
      <c r="A142" s="1" t="e">
        <f>VLOOKUP(B142,'Product Cost - Price'!$B$5:$B$223,1,FALSE)</f>
        <v>#N/A</v>
      </c>
      <c r="B142" s="183">
        <v>544933</v>
      </c>
      <c r="C142" s="7" t="s">
        <v>300</v>
      </c>
      <c r="D142" s="1" t="s">
        <v>300</v>
      </c>
      <c r="E142" s="1" t="s">
        <v>196</v>
      </c>
      <c r="G142" s="67">
        <v>24.3</v>
      </c>
      <c r="H142" s="1">
        <v>0</v>
      </c>
      <c r="I142" s="1">
        <v>0</v>
      </c>
      <c r="J142" s="1">
        <v>0</v>
      </c>
      <c r="K142" s="1" t="s">
        <v>23</v>
      </c>
      <c r="L142" s="1" t="s">
        <v>23</v>
      </c>
      <c r="M142" s="1">
        <v>20</v>
      </c>
      <c r="N142" s="1" t="s">
        <v>31</v>
      </c>
      <c r="S142" s="1">
        <v>0</v>
      </c>
    </row>
    <row r="143" spans="1:19" hidden="1" x14ac:dyDescent="0.25">
      <c r="A143" s="1" t="e">
        <f>VLOOKUP(B143,'Product Cost - Price'!$B$5:$B$223,1,FALSE)</f>
        <v>#N/A</v>
      </c>
      <c r="B143" s="183">
        <v>544934</v>
      </c>
      <c r="C143" s="7" t="s">
        <v>301</v>
      </c>
      <c r="D143" s="1" t="s">
        <v>301</v>
      </c>
      <c r="E143" s="1" t="s">
        <v>196</v>
      </c>
      <c r="G143" s="67">
        <v>16</v>
      </c>
      <c r="H143" s="1">
        <v>0</v>
      </c>
      <c r="I143" s="1">
        <v>0</v>
      </c>
      <c r="J143" s="1">
        <v>0</v>
      </c>
      <c r="K143" s="1" t="s">
        <v>23</v>
      </c>
      <c r="L143" s="1" t="s">
        <v>23</v>
      </c>
      <c r="M143" s="1">
        <v>20</v>
      </c>
      <c r="N143" s="1" t="s">
        <v>23</v>
      </c>
      <c r="P143" s="1">
        <v>1</v>
      </c>
      <c r="S143" s="1">
        <v>0</v>
      </c>
    </row>
    <row r="144" spans="1:19" hidden="1" x14ac:dyDescent="0.25">
      <c r="A144" s="1">
        <f>VLOOKUP(B144,'Product Cost - Price'!$B$5:$B$223,1,FALSE)</f>
        <v>545413</v>
      </c>
      <c r="B144" s="187">
        <v>545413</v>
      </c>
      <c r="C144" s="44" t="s">
        <v>302</v>
      </c>
      <c r="D144" s="1" t="s">
        <v>302</v>
      </c>
      <c r="E144" s="1" t="s">
        <v>42</v>
      </c>
      <c r="F144" s="1" t="s">
        <v>303</v>
      </c>
      <c r="G144" s="67">
        <v>0</v>
      </c>
      <c r="H144" s="1">
        <v>17.829999999999998</v>
      </c>
      <c r="I144" s="1">
        <v>0</v>
      </c>
      <c r="J144" s="1">
        <v>0</v>
      </c>
      <c r="K144" s="1" t="s">
        <v>23</v>
      </c>
      <c r="L144" s="1" t="s">
        <v>23</v>
      </c>
      <c r="M144" s="1">
        <v>20</v>
      </c>
      <c r="N144" s="1" t="s">
        <v>23</v>
      </c>
      <c r="O144" s="1">
        <v>1</v>
      </c>
      <c r="S144" s="1">
        <v>0</v>
      </c>
    </row>
    <row r="145" spans="1:19" hidden="1" x14ac:dyDescent="0.25">
      <c r="A145" s="1">
        <f>VLOOKUP(B145,'Product Cost - Price'!$B$5:$B$223,1,FALSE)</f>
        <v>546517</v>
      </c>
      <c r="B145" s="186">
        <v>546517</v>
      </c>
      <c r="C145" s="44" t="s">
        <v>304</v>
      </c>
      <c r="D145" s="1" t="s">
        <v>304</v>
      </c>
      <c r="E145" s="1" t="s">
        <v>196</v>
      </c>
      <c r="G145" s="67">
        <v>22.5</v>
      </c>
      <c r="H145" s="1">
        <v>18.5</v>
      </c>
      <c r="I145" s="1">
        <v>0</v>
      </c>
      <c r="J145" s="1">
        <v>0</v>
      </c>
      <c r="K145" s="1" t="s">
        <v>23</v>
      </c>
      <c r="L145" s="1" t="s">
        <v>23</v>
      </c>
      <c r="M145" s="1">
        <v>20</v>
      </c>
      <c r="N145" s="1" t="s">
        <v>31</v>
      </c>
      <c r="S145" s="1">
        <v>0</v>
      </c>
    </row>
    <row r="146" spans="1:19" s="7" customFormat="1" hidden="1" x14ac:dyDescent="0.25">
      <c r="A146" s="1">
        <f>VLOOKUP(B146,'Product Cost - Price'!$B$5:$B$223,1,FALSE)</f>
        <v>546518</v>
      </c>
      <c r="B146" s="186">
        <v>546518</v>
      </c>
      <c r="C146" s="44" t="s">
        <v>305</v>
      </c>
      <c r="D146" s="1" t="s">
        <v>305</v>
      </c>
      <c r="E146" s="1" t="s">
        <v>196</v>
      </c>
      <c r="F146" s="1"/>
      <c r="G146" s="67">
        <v>34.200000000000003</v>
      </c>
      <c r="H146" s="1">
        <v>28.65</v>
      </c>
      <c r="I146" s="1">
        <v>0</v>
      </c>
      <c r="J146" s="1">
        <v>0</v>
      </c>
      <c r="K146" s="1" t="s">
        <v>23</v>
      </c>
      <c r="L146" s="1" t="s">
        <v>23</v>
      </c>
      <c r="M146" s="1">
        <v>20</v>
      </c>
      <c r="N146" s="1" t="s">
        <v>31</v>
      </c>
      <c r="O146" s="1"/>
      <c r="P146" s="1"/>
      <c r="Q146" s="1"/>
      <c r="R146" s="1"/>
      <c r="S146" s="1">
        <v>0</v>
      </c>
    </row>
    <row r="147" spans="1:19" hidden="1" x14ac:dyDescent="0.25">
      <c r="A147" s="1">
        <f>VLOOKUP(B147,'Product Cost - Price'!$B$5:$B$223,1,FALSE)</f>
        <v>546522</v>
      </c>
      <c r="B147" s="186">
        <v>546522</v>
      </c>
      <c r="C147" s="44" t="s">
        <v>306</v>
      </c>
      <c r="D147" s="1" t="s">
        <v>306</v>
      </c>
      <c r="E147" s="1" t="s">
        <v>196</v>
      </c>
      <c r="G147" s="67">
        <v>22.5</v>
      </c>
      <c r="H147" s="1">
        <v>18.95</v>
      </c>
      <c r="I147" s="1">
        <v>0</v>
      </c>
      <c r="J147" s="1">
        <v>0</v>
      </c>
      <c r="K147" s="1" t="s">
        <v>23</v>
      </c>
      <c r="L147" s="1" t="s">
        <v>23</v>
      </c>
      <c r="M147" s="1">
        <v>20</v>
      </c>
      <c r="N147" s="1" t="s">
        <v>31</v>
      </c>
      <c r="S147" s="1">
        <v>0</v>
      </c>
    </row>
    <row r="148" spans="1:19" hidden="1" x14ac:dyDescent="0.25">
      <c r="A148" s="1">
        <f>VLOOKUP(B148,'Product Cost - Price'!$B$5:$B$223,1,FALSE)</f>
        <v>546523</v>
      </c>
      <c r="B148" s="186">
        <v>546523</v>
      </c>
      <c r="C148" s="44" t="s">
        <v>307</v>
      </c>
      <c r="D148" s="1" t="s">
        <v>307</v>
      </c>
      <c r="E148" s="1" t="s">
        <v>196</v>
      </c>
      <c r="G148" s="67">
        <v>41</v>
      </c>
      <c r="H148" s="1">
        <v>32.35</v>
      </c>
      <c r="I148" s="1">
        <v>0</v>
      </c>
      <c r="J148" s="1">
        <v>0</v>
      </c>
      <c r="K148" s="1" t="s">
        <v>23</v>
      </c>
      <c r="L148" s="1" t="s">
        <v>23</v>
      </c>
      <c r="M148" s="1">
        <v>20</v>
      </c>
      <c r="N148" s="1" t="s">
        <v>31</v>
      </c>
      <c r="S148" s="1">
        <v>0</v>
      </c>
    </row>
    <row r="149" spans="1:19" hidden="1" x14ac:dyDescent="0.25">
      <c r="A149" s="1">
        <f>VLOOKUP(B149,'Product Cost - Price'!$B$5:$B$223,1,FALSE)</f>
        <v>546686</v>
      </c>
      <c r="B149" s="182">
        <v>546686</v>
      </c>
      <c r="C149" s="44" t="s">
        <v>308</v>
      </c>
      <c r="D149" s="1" t="s">
        <v>309</v>
      </c>
      <c r="E149" s="1" t="s">
        <v>29</v>
      </c>
      <c r="F149" s="1" t="s">
        <v>310</v>
      </c>
      <c r="G149" s="67">
        <v>44</v>
      </c>
      <c r="H149" s="1">
        <v>40.97</v>
      </c>
      <c r="I149" s="1">
        <v>95</v>
      </c>
      <c r="J149" s="1">
        <v>0</v>
      </c>
      <c r="K149" s="1" t="s">
        <v>23</v>
      </c>
      <c r="L149" s="1" t="s">
        <v>23</v>
      </c>
      <c r="M149" s="1">
        <v>20</v>
      </c>
      <c r="N149" s="1" t="s">
        <v>31</v>
      </c>
      <c r="S149" s="1">
        <v>0</v>
      </c>
    </row>
    <row r="150" spans="1:19" hidden="1" x14ac:dyDescent="0.25">
      <c r="A150" s="1">
        <f>VLOOKUP(B150,'Product Cost - Price'!$B$5:$B$223,1,FALSE)</f>
        <v>546687</v>
      </c>
      <c r="B150" s="182">
        <v>546687</v>
      </c>
      <c r="C150" s="44" t="s">
        <v>311</v>
      </c>
      <c r="D150" s="1" t="s">
        <v>311</v>
      </c>
      <c r="E150" s="1" t="s">
        <v>29</v>
      </c>
      <c r="G150" s="67">
        <v>2.17</v>
      </c>
      <c r="H150" s="1">
        <v>2.0299999999999998</v>
      </c>
      <c r="I150" s="1">
        <v>4.67</v>
      </c>
      <c r="J150" s="1">
        <v>0</v>
      </c>
      <c r="K150" s="1" t="s">
        <v>23</v>
      </c>
      <c r="L150" s="1" t="s">
        <v>23</v>
      </c>
      <c r="M150" s="1">
        <v>0</v>
      </c>
      <c r="N150" s="1" t="s">
        <v>23</v>
      </c>
      <c r="S150" s="1">
        <v>0</v>
      </c>
    </row>
    <row r="151" spans="1:19" hidden="1" x14ac:dyDescent="0.25">
      <c r="A151" s="1">
        <f>VLOOKUP(B151,'Product Cost - Price'!$B$5:$B$223,1,FALSE)</f>
        <v>547340</v>
      </c>
      <c r="B151" s="182">
        <v>547340</v>
      </c>
      <c r="C151" s="44" t="s">
        <v>312</v>
      </c>
      <c r="D151" s="1" t="s">
        <v>313</v>
      </c>
      <c r="E151" s="1" t="s">
        <v>29</v>
      </c>
      <c r="G151" s="67">
        <v>20.2</v>
      </c>
      <c r="H151" s="1">
        <v>18.78</v>
      </c>
      <c r="I151" s="1">
        <v>21.25</v>
      </c>
      <c r="J151" s="1">
        <v>0</v>
      </c>
      <c r="K151" s="1" t="s">
        <v>23</v>
      </c>
      <c r="L151" s="1" t="s">
        <v>23</v>
      </c>
      <c r="M151" s="1">
        <v>20</v>
      </c>
      <c r="N151" s="1" t="s">
        <v>23</v>
      </c>
      <c r="S151" s="1">
        <v>0</v>
      </c>
    </row>
    <row r="152" spans="1:19" hidden="1" x14ac:dyDescent="0.25">
      <c r="A152" s="1">
        <f>VLOOKUP(B152,'Product Cost - Price'!$B$5:$B$223,1,FALSE)</f>
        <v>547537</v>
      </c>
      <c r="B152" s="182">
        <v>547537</v>
      </c>
      <c r="C152" s="44" t="s">
        <v>314</v>
      </c>
      <c r="D152" s="1" t="s">
        <v>315</v>
      </c>
      <c r="E152" s="1" t="s">
        <v>29</v>
      </c>
      <c r="F152" s="1" t="s">
        <v>147</v>
      </c>
      <c r="G152" s="67">
        <v>13</v>
      </c>
      <c r="H152" s="1">
        <v>12.12</v>
      </c>
      <c r="I152" s="1">
        <v>23.75</v>
      </c>
      <c r="J152" s="1">
        <v>0</v>
      </c>
      <c r="K152" s="1" t="s">
        <v>23</v>
      </c>
      <c r="L152" s="1" t="s">
        <v>23</v>
      </c>
      <c r="M152" s="1">
        <v>20</v>
      </c>
      <c r="N152" s="1" t="s">
        <v>31</v>
      </c>
      <c r="S152" s="1">
        <v>0</v>
      </c>
    </row>
    <row r="153" spans="1:19" s="7" customFormat="1" hidden="1" x14ac:dyDescent="0.25">
      <c r="A153" s="1">
        <f>VLOOKUP(B153,'Product Cost - Price'!$B$5:$B$223,1,FALSE)</f>
        <v>555693</v>
      </c>
      <c r="B153" s="186">
        <v>555693</v>
      </c>
      <c r="C153" s="44" t="s">
        <v>316</v>
      </c>
      <c r="D153" s="1" t="s">
        <v>316</v>
      </c>
      <c r="E153" s="1" t="s">
        <v>29</v>
      </c>
      <c r="F153" s="1" t="s">
        <v>317</v>
      </c>
      <c r="G153" s="67">
        <v>14.4</v>
      </c>
      <c r="H153" s="1">
        <v>14</v>
      </c>
      <c r="I153" s="1">
        <v>0</v>
      </c>
      <c r="J153" s="1">
        <v>0</v>
      </c>
      <c r="K153" s="1" t="s">
        <v>23</v>
      </c>
      <c r="L153" s="1" t="s">
        <v>23</v>
      </c>
      <c r="M153" s="1">
        <v>20</v>
      </c>
      <c r="N153" s="1" t="s">
        <v>31</v>
      </c>
      <c r="O153" s="1"/>
      <c r="P153" s="1"/>
      <c r="Q153" s="1"/>
      <c r="R153" s="1"/>
      <c r="S153" s="1">
        <v>0</v>
      </c>
    </row>
    <row r="154" spans="1:19" hidden="1" x14ac:dyDescent="0.25">
      <c r="A154" s="1">
        <f>VLOOKUP(B154,'Product Cost - Price'!$B$5:$B$223,1,FALSE)</f>
        <v>556572</v>
      </c>
      <c r="B154" s="186">
        <v>556572</v>
      </c>
      <c r="C154" s="1" t="s">
        <v>318</v>
      </c>
      <c r="D154" s="1" t="s">
        <v>318</v>
      </c>
      <c r="E154" s="1" t="s">
        <v>65</v>
      </c>
      <c r="F154" s="1" t="s">
        <v>318</v>
      </c>
      <c r="G154" s="67">
        <v>0</v>
      </c>
      <c r="H154" s="1">
        <v>0</v>
      </c>
      <c r="I154" s="1">
        <v>0</v>
      </c>
      <c r="J154" s="1">
        <v>0</v>
      </c>
      <c r="K154" s="1" t="s">
        <v>23</v>
      </c>
      <c r="L154" s="1" t="s">
        <v>23</v>
      </c>
      <c r="N154" s="1" t="s">
        <v>23</v>
      </c>
      <c r="S154" s="1">
        <v>0</v>
      </c>
    </row>
    <row r="155" spans="1:19" hidden="1" x14ac:dyDescent="0.25">
      <c r="A155" s="1">
        <f>VLOOKUP(B155,'Product Cost - Price'!$B$5:$B$223,1,FALSE)</f>
        <v>557601</v>
      </c>
      <c r="B155" s="182">
        <v>557601</v>
      </c>
      <c r="C155" s="44" t="s">
        <v>319</v>
      </c>
      <c r="D155" s="1" t="s">
        <v>319</v>
      </c>
      <c r="E155" s="1" t="s">
        <v>29</v>
      </c>
      <c r="F155" s="1" t="s">
        <v>319</v>
      </c>
      <c r="G155" s="67">
        <v>1.03</v>
      </c>
      <c r="H155" s="1">
        <v>0.96</v>
      </c>
      <c r="I155" s="1">
        <v>0</v>
      </c>
      <c r="J155" s="1">
        <v>0</v>
      </c>
      <c r="K155" s="1" t="s">
        <v>23</v>
      </c>
      <c r="L155" s="1" t="s">
        <v>23</v>
      </c>
      <c r="M155" s="1">
        <v>1</v>
      </c>
      <c r="N155" s="1" t="s">
        <v>31</v>
      </c>
      <c r="S155" s="1">
        <v>0</v>
      </c>
    </row>
    <row r="156" spans="1:19" hidden="1" x14ac:dyDescent="0.25">
      <c r="A156" s="1">
        <f>VLOOKUP(B156,'Product Cost - Price'!$B$5:$B$223,1,FALSE)</f>
        <v>557862</v>
      </c>
      <c r="B156" s="182">
        <v>557862</v>
      </c>
      <c r="C156" s="44" t="s">
        <v>320</v>
      </c>
      <c r="D156" s="1" t="s">
        <v>320</v>
      </c>
      <c r="E156" s="1" t="s">
        <v>196</v>
      </c>
      <c r="G156" s="67">
        <v>0</v>
      </c>
      <c r="H156" s="1">
        <v>0</v>
      </c>
      <c r="I156" s="1">
        <v>0</v>
      </c>
      <c r="J156" s="1">
        <v>0</v>
      </c>
      <c r="K156" s="1" t="s">
        <v>23</v>
      </c>
      <c r="L156" s="1" t="s">
        <v>23</v>
      </c>
      <c r="M156" s="1">
        <v>20</v>
      </c>
      <c r="N156" s="1" t="s">
        <v>23</v>
      </c>
      <c r="S156" s="1">
        <v>0</v>
      </c>
    </row>
    <row r="157" spans="1:19" hidden="1" x14ac:dyDescent="0.25">
      <c r="A157" s="1">
        <f>VLOOKUP(B157,'Product Cost - Price'!$B$5:$B$223,1,FALSE)</f>
        <v>557863</v>
      </c>
      <c r="B157" s="182">
        <v>557863</v>
      </c>
      <c r="C157" s="44" t="s">
        <v>321</v>
      </c>
      <c r="D157" s="1" t="s">
        <v>321</v>
      </c>
      <c r="E157" s="1" t="s">
        <v>196</v>
      </c>
      <c r="G157" s="67">
        <v>39.85</v>
      </c>
      <c r="H157" s="1">
        <v>0</v>
      </c>
      <c r="I157" s="1">
        <v>0</v>
      </c>
      <c r="J157" s="1">
        <v>0</v>
      </c>
      <c r="K157" s="1" t="s">
        <v>23</v>
      </c>
      <c r="L157" s="1" t="s">
        <v>23</v>
      </c>
      <c r="M157" s="1">
        <v>20</v>
      </c>
      <c r="N157" s="1" t="s">
        <v>31</v>
      </c>
      <c r="S157" s="1">
        <v>0</v>
      </c>
    </row>
    <row r="158" spans="1:19" hidden="1" x14ac:dyDescent="0.25">
      <c r="A158" s="1">
        <f>VLOOKUP(B158,'Product Cost - Price'!$B$5:$B$223,1,FALSE)</f>
        <v>559574</v>
      </c>
      <c r="B158" s="182">
        <v>559574</v>
      </c>
      <c r="C158" s="44" t="s">
        <v>322</v>
      </c>
      <c r="D158" s="1" t="s">
        <v>322</v>
      </c>
      <c r="E158" s="1" t="s">
        <v>29</v>
      </c>
      <c r="F158" s="2" t="s">
        <v>264</v>
      </c>
      <c r="G158" s="67">
        <v>0.8</v>
      </c>
      <c r="H158" s="1">
        <v>7.3999999999999996E-2</v>
      </c>
      <c r="I158" s="1">
        <v>0</v>
      </c>
      <c r="J158" s="1">
        <v>0</v>
      </c>
      <c r="K158" s="1" t="s">
        <v>23</v>
      </c>
      <c r="L158" s="1" t="s">
        <v>23</v>
      </c>
      <c r="M158" s="1">
        <v>1</v>
      </c>
      <c r="N158" s="1" t="s">
        <v>31</v>
      </c>
      <c r="S158" s="1">
        <v>0</v>
      </c>
    </row>
    <row r="159" spans="1:19" hidden="1" x14ac:dyDescent="0.25">
      <c r="A159" s="1">
        <f>VLOOKUP(B159,'Product Cost - Price'!$B$5:$B$223,1,FALSE)</f>
        <v>563502</v>
      </c>
      <c r="B159" s="182">
        <v>563502</v>
      </c>
      <c r="C159" s="44" t="s">
        <v>323</v>
      </c>
      <c r="D159" s="1" t="s">
        <v>323</v>
      </c>
      <c r="E159" s="1" t="s">
        <v>116</v>
      </c>
      <c r="F159" s="2" t="s">
        <v>323</v>
      </c>
      <c r="G159" s="67">
        <v>21.6</v>
      </c>
      <c r="H159" s="1">
        <v>7.3999999999999996E-2</v>
      </c>
      <c r="I159" s="1">
        <v>0</v>
      </c>
      <c r="J159" s="1">
        <v>0</v>
      </c>
      <c r="K159" s="1" t="s">
        <v>23</v>
      </c>
      <c r="L159" s="1" t="s">
        <v>23</v>
      </c>
      <c r="M159" s="1">
        <v>20</v>
      </c>
      <c r="N159" s="1" t="s">
        <v>31</v>
      </c>
      <c r="S159" s="1">
        <v>0</v>
      </c>
    </row>
    <row r="160" spans="1:19" hidden="1" x14ac:dyDescent="0.25">
      <c r="A160" s="1">
        <f>VLOOKUP(B160,'Product Cost - Price'!$B$5:$B$223,1,FALSE)</f>
        <v>563503</v>
      </c>
      <c r="B160" s="182">
        <v>563503</v>
      </c>
      <c r="C160" s="44" t="s">
        <v>324</v>
      </c>
      <c r="D160" s="1" t="s">
        <v>324</v>
      </c>
      <c r="E160" s="1" t="s">
        <v>116</v>
      </c>
      <c r="F160" s="2" t="s">
        <v>324</v>
      </c>
      <c r="G160" s="67">
        <v>24</v>
      </c>
      <c r="H160" s="1">
        <v>7.3999999999999996E-2</v>
      </c>
      <c r="I160" s="1">
        <v>0</v>
      </c>
      <c r="J160" s="1">
        <v>0</v>
      </c>
      <c r="K160" s="1" t="s">
        <v>23</v>
      </c>
      <c r="L160" s="1" t="s">
        <v>23</v>
      </c>
      <c r="M160" s="1">
        <v>20</v>
      </c>
      <c r="N160" s="1" t="s">
        <v>31</v>
      </c>
      <c r="S160" s="1">
        <v>0</v>
      </c>
    </row>
    <row r="161" spans="1:19" hidden="1" x14ac:dyDescent="0.25">
      <c r="A161" s="1">
        <f>VLOOKUP(B161,'Product Cost - Price'!$B$5:$B$223,1,FALSE)</f>
        <v>563504</v>
      </c>
      <c r="B161" s="182">
        <v>563504</v>
      </c>
      <c r="C161" s="44" t="s">
        <v>325</v>
      </c>
      <c r="D161" s="1" t="s">
        <v>325</v>
      </c>
      <c r="E161" s="1" t="s">
        <v>116</v>
      </c>
      <c r="F161" s="2" t="s">
        <v>325</v>
      </c>
      <c r="G161" s="67">
        <v>20.399999999999999</v>
      </c>
      <c r="H161" s="1">
        <v>7.3999999999999996E-2</v>
      </c>
      <c r="I161" s="1">
        <v>0</v>
      </c>
      <c r="J161" s="1">
        <v>0</v>
      </c>
      <c r="K161" s="1" t="s">
        <v>23</v>
      </c>
      <c r="L161" s="1" t="s">
        <v>23</v>
      </c>
      <c r="M161" s="1">
        <v>20</v>
      </c>
      <c r="N161" s="1" t="s">
        <v>31</v>
      </c>
      <c r="S161" s="1">
        <v>0</v>
      </c>
    </row>
    <row r="162" spans="1:19" hidden="1" x14ac:dyDescent="0.25">
      <c r="A162" s="1">
        <f>VLOOKUP(B162,'Product Cost - Price'!$B$5:$B$223,1,FALSE)</f>
        <v>563525</v>
      </c>
      <c r="B162" s="182">
        <v>563525</v>
      </c>
      <c r="C162" s="44" t="s">
        <v>326</v>
      </c>
      <c r="D162" s="1" t="s">
        <v>326</v>
      </c>
      <c r="E162" s="1" t="s">
        <v>116</v>
      </c>
      <c r="F162" s="2" t="s">
        <v>326</v>
      </c>
      <c r="G162" s="67">
        <v>24.4</v>
      </c>
      <c r="H162" s="1">
        <v>7.3999999999999996E-2</v>
      </c>
      <c r="I162" s="1">
        <v>0</v>
      </c>
      <c r="J162" s="1">
        <v>0</v>
      </c>
      <c r="K162" s="1" t="s">
        <v>23</v>
      </c>
      <c r="L162" s="1" t="s">
        <v>23</v>
      </c>
      <c r="M162" s="1">
        <v>20</v>
      </c>
      <c r="N162" s="1" t="s">
        <v>31</v>
      </c>
      <c r="S162" s="60">
        <v>0</v>
      </c>
    </row>
    <row r="163" spans="1:19" hidden="1" x14ac:dyDescent="0.25">
      <c r="A163" s="1">
        <f>VLOOKUP(B163,'Product Cost - Price'!$B$5:$B$223,1,FALSE)</f>
        <v>564048</v>
      </c>
      <c r="B163" s="182">
        <v>564048</v>
      </c>
      <c r="C163" s="44" t="s">
        <v>327</v>
      </c>
      <c r="D163" s="1" t="s">
        <v>327</v>
      </c>
      <c r="E163" s="1" t="s">
        <v>116</v>
      </c>
      <c r="F163" s="2" t="s">
        <v>327</v>
      </c>
      <c r="G163" s="67">
        <v>22.2</v>
      </c>
      <c r="H163" s="1">
        <v>7.3999999999999996E-2</v>
      </c>
      <c r="I163" s="1">
        <v>0</v>
      </c>
      <c r="J163" s="1">
        <v>0</v>
      </c>
      <c r="K163" s="1" t="s">
        <v>23</v>
      </c>
      <c r="L163" s="1" t="s">
        <v>23</v>
      </c>
      <c r="M163" s="1">
        <v>20</v>
      </c>
      <c r="N163" s="1" t="s">
        <v>31</v>
      </c>
      <c r="O163" s="1">
        <v>20</v>
      </c>
      <c r="S163" s="1">
        <v>0</v>
      </c>
    </row>
    <row r="164" spans="1:19" hidden="1" x14ac:dyDescent="0.25">
      <c r="A164" s="1">
        <f>VLOOKUP(B164,'Product Cost - Price'!$B$5:$B$223,1,FALSE)</f>
        <v>564049</v>
      </c>
      <c r="B164" s="182">
        <v>564049</v>
      </c>
      <c r="C164" s="44" t="s">
        <v>328</v>
      </c>
      <c r="D164" s="1" t="s">
        <v>328</v>
      </c>
      <c r="E164" s="1" t="s">
        <v>116</v>
      </c>
      <c r="F164" s="2" t="s">
        <v>328</v>
      </c>
      <c r="G164" s="67">
        <v>1.1100000000000001</v>
      </c>
      <c r="H164" s="1">
        <v>7.3999999999999996E-2</v>
      </c>
      <c r="I164" s="1">
        <v>0</v>
      </c>
      <c r="J164" s="1">
        <v>0</v>
      </c>
      <c r="K164" s="1" t="s">
        <v>23</v>
      </c>
      <c r="L164" s="1" t="s">
        <v>23</v>
      </c>
      <c r="M164" s="1">
        <v>1</v>
      </c>
      <c r="N164" s="1" t="s">
        <v>31</v>
      </c>
      <c r="S164" s="1">
        <v>0</v>
      </c>
    </row>
    <row r="165" spans="1:19" hidden="1" x14ac:dyDescent="0.25">
      <c r="A165" s="1">
        <f>VLOOKUP(B165,'Product Cost - Price'!$B$5:$B$223,1,FALSE)</f>
        <v>564050</v>
      </c>
      <c r="B165" s="182">
        <v>564050</v>
      </c>
      <c r="C165" s="44" t="s">
        <v>329</v>
      </c>
      <c r="D165" s="1" t="s">
        <v>329</v>
      </c>
      <c r="E165" s="1" t="s">
        <v>116</v>
      </c>
      <c r="F165" s="2" t="s">
        <v>329</v>
      </c>
      <c r="G165" s="67">
        <v>22.4</v>
      </c>
      <c r="H165" s="1">
        <v>7.3999999999999996E-2</v>
      </c>
      <c r="I165" s="1">
        <v>0</v>
      </c>
      <c r="J165" s="1">
        <v>0</v>
      </c>
      <c r="K165" s="1" t="s">
        <v>23</v>
      </c>
      <c r="L165" s="1" t="s">
        <v>23</v>
      </c>
      <c r="M165" s="1">
        <v>20</v>
      </c>
      <c r="N165" s="1" t="s">
        <v>31</v>
      </c>
      <c r="S165" s="1">
        <v>0</v>
      </c>
    </row>
    <row r="166" spans="1:19" hidden="1" x14ac:dyDescent="0.25">
      <c r="A166" s="1">
        <f>VLOOKUP(B166,'Product Cost - Price'!$B$5:$B$223,1,FALSE)</f>
        <v>564051</v>
      </c>
      <c r="B166" s="182">
        <v>564051</v>
      </c>
      <c r="C166" s="44" t="s">
        <v>330</v>
      </c>
      <c r="D166" s="1" t="s">
        <v>330</v>
      </c>
      <c r="E166" s="1" t="s">
        <v>116</v>
      </c>
      <c r="F166" s="2" t="s">
        <v>330</v>
      </c>
      <c r="G166" s="67">
        <v>1.1200000000000001</v>
      </c>
      <c r="H166" s="1">
        <v>7.3999999999999996E-2</v>
      </c>
      <c r="I166" s="1">
        <v>0</v>
      </c>
      <c r="J166" s="1">
        <v>0</v>
      </c>
      <c r="K166" s="1" t="s">
        <v>23</v>
      </c>
      <c r="L166" s="1" t="s">
        <v>23</v>
      </c>
      <c r="M166" s="1">
        <v>1</v>
      </c>
      <c r="N166" s="1" t="s">
        <v>31</v>
      </c>
      <c r="S166" s="1">
        <v>0</v>
      </c>
    </row>
    <row r="167" spans="1:19" hidden="1" x14ac:dyDescent="0.25">
      <c r="A167" s="1">
        <f>VLOOKUP(B167,'Product Cost - Price'!$B$5:$B$223,1,FALSE)</f>
        <v>564052</v>
      </c>
      <c r="B167" s="182">
        <v>564052</v>
      </c>
      <c r="C167" s="44" t="s">
        <v>331</v>
      </c>
      <c r="D167" s="1" t="s">
        <v>331</v>
      </c>
      <c r="E167" s="1" t="s">
        <v>116</v>
      </c>
      <c r="F167" s="2" t="s">
        <v>331</v>
      </c>
      <c r="G167" s="67">
        <v>23</v>
      </c>
      <c r="H167" s="1">
        <v>7.3999999999999996E-2</v>
      </c>
      <c r="I167" s="1">
        <v>0</v>
      </c>
      <c r="J167" s="1">
        <v>0</v>
      </c>
      <c r="K167" s="1" t="s">
        <v>23</v>
      </c>
      <c r="L167" s="1" t="s">
        <v>23</v>
      </c>
      <c r="M167" s="1">
        <v>20</v>
      </c>
      <c r="N167" s="1" t="s">
        <v>31</v>
      </c>
      <c r="S167" s="1">
        <v>0</v>
      </c>
    </row>
    <row r="168" spans="1:19" hidden="1" x14ac:dyDescent="0.25">
      <c r="A168" s="1">
        <f>VLOOKUP(B168,'Product Cost - Price'!$B$5:$B$223,1,FALSE)</f>
        <v>564053</v>
      </c>
      <c r="B168" s="182">
        <v>564053</v>
      </c>
      <c r="C168" s="44" t="s">
        <v>332</v>
      </c>
      <c r="D168" s="1" t="s">
        <v>332</v>
      </c>
      <c r="E168" s="1" t="s">
        <v>116</v>
      </c>
      <c r="F168" s="2" t="s">
        <v>332</v>
      </c>
      <c r="G168" s="67">
        <v>1.1499999999999999</v>
      </c>
      <c r="H168" s="1">
        <v>7.3999999999999996E-2</v>
      </c>
      <c r="I168" s="1">
        <v>0</v>
      </c>
      <c r="J168" s="1">
        <v>0</v>
      </c>
      <c r="K168" s="1" t="s">
        <v>23</v>
      </c>
      <c r="L168" s="1" t="s">
        <v>23</v>
      </c>
      <c r="M168" s="1">
        <v>1</v>
      </c>
      <c r="N168" s="1" t="s">
        <v>31</v>
      </c>
      <c r="S168" s="1">
        <v>0</v>
      </c>
    </row>
    <row r="169" spans="1:19" hidden="1" x14ac:dyDescent="0.25">
      <c r="A169" s="1">
        <f>VLOOKUP(B169,'Product Cost - Price'!$B$5:$B$223,1,FALSE)</f>
        <v>564054</v>
      </c>
      <c r="B169" s="182">
        <v>564054</v>
      </c>
      <c r="C169" s="44" t="s">
        <v>333</v>
      </c>
      <c r="D169" s="1" t="s">
        <v>333</v>
      </c>
      <c r="E169" s="1" t="s">
        <v>116</v>
      </c>
      <c r="F169" s="2" t="s">
        <v>333</v>
      </c>
      <c r="G169" s="67">
        <v>37.799999999999997</v>
      </c>
      <c r="H169" s="1">
        <v>7.3999999999999996E-2</v>
      </c>
      <c r="I169" s="1">
        <v>0</v>
      </c>
      <c r="J169" s="1">
        <v>0</v>
      </c>
      <c r="K169" s="1" t="s">
        <v>23</v>
      </c>
      <c r="L169" s="1" t="s">
        <v>23</v>
      </c>
      <c r="M169" s="1">
        <v>20</v>
      </c>
      <c r="N169" s="1" t="s">
        <v>31</v>
      </c>
      <c r="S169" s="1">
        <v>0</v>
      </c>
    </row>
    <row r="170" spans="1:19" hidden="1" x14ac:dyDescent="0.25">
      <c r="A170" s="1">
        <f>VLOOKUP(B170,'Product Cost - Price'!$B$5:$B$223,1,FALSE)</f>
        <v>564055</v>
      </c>
      <c r="B170" s="182">
        <v>564055</v>
      </c>
      <c r="C170" s="44" t="s">
        <v>334</v>
      </c>
      <c r="D170" s="1" t="s">
        <v>334</v>
      </c>
      <c r="E170" s="1" t="s">
        <v>116</v>
      </c>
      <c r="F170" s="2" t="s">
        <v>334</v>
      </c>
      <c r="G170" s="67">
        <v>1.74</v>
      </c>
      <c r="H170" s="1">
        <v>7.3999999999999996E-2</v>
      </c>
      <c r="I170" s="1">
        <v>0</v>
      </c>
      <c r="J170" s="1">
        <v>0</v>
      </c>
      <c r="K170" s="1" t="s">
        <v>23</v>
      </c>
      <c r="L170" s="1" t="s">
        <v>23</v>
      </c>
      <c r="M170" s="1">
        <v>1</v>
      </c>
      <c r="N170" s="1" t="s">
        <v>31</v>
      </c>
      <c r="S170" s="1">
        <v>0</v>
      </c>
    </row>
    <row r="171" spans="1:19" hidden="1" x14ac:dyDescent="0.25">
      <c r="A171" s="1">
        <f>VLOOKUP(B171,'Product Cost - Price'!$B$5:$B$223,1,FALSE)</f>
        <v>564056</v>
      </c>
      <c r="B171" s="182">
        <v>564056</v>
      </c>
      <c r="C171" s="44" t="s">
        <v>335</v>
      </c>
      <c r="D171" s="1" t="s">
        <v>335</v>
      </c>
      <c r="E171" s="1" t="s">
        <v>116</v>
      </c>
      <c r="F171" s="2" t="s">
        <v>335</v>
      </c>
      <c r="G171" s="67">
        <v>25.8</v>
      </c>
      <c r="H171" s="1">
        <v>7.3999999999999996E-2</v>
      </c>
      <c r="I171" s="1">
        <v>0</v>
      </c>
      <c r="J171" s="1">
        <v>0</v>
      </c>
      <c r="K171" s="1" t="s">
        <v>23</v>
      </c>
      <c r="L171" s="1" t="s">
        <v>23</v>
      </c>
      <c r="M171" s="1">
        <v>0</v>
      </c>
      <c r="N171" s="1" t="s">
        <v>31</v>
      </c>
      <c r="S171" s="1">
        <v>0</v>
      </c>
    </row>
    <row r="172" spans="1:19" hidden="1" x14ac:dyDescent="0.25">
      <c r="A172" s="1">
        <f>VLOOKUP(B172,'Product Cost - Price'!$B$5:$B$223,1,FALSE)</f>
        <v>564057</v>
      </c>
      <c r="B172" s="182">
        <v>564057</v>
      </c>
      <c r="C172" s="44" t="s">
        <v>336</v>
      </c>
      <c r="D172" s="1" t="s">
        <v>336</v>
      </c>
      <c r="E172" s="1" t="s">
        <v>116</v>
      </c>
      <c r="F172" s="2" t="s">
        <v>336</v>
      </c>
      <c r="G172" s="67">
        <v>1.29</v>
      </c>
      <c r="H172" s="1">
        <v>7.3999999999999996E-2</v>
      </c>
      <c r="I172" s="1">
        <v>0</v>
      </c>
      <c r="J172" s="1">
        <v>0</v>
      </c>
      <c r="K172" s="1" t="s">
        <v>23</v>
      </c>
      <c r="L172" s="1" t="s">
        <v>23</v>
      </c>
      <c r="M172" s="1">
        <v>1</v>
      </c>
      <c r="N172" s="1" t="s">
        <v>31</v>
      </c>
      <c r="S172" s="1">
        <v>0</v>
      </c>
    </row>
    <row r="173" spans="1:19" hidden="1" x14ac:dyDescent="0.25">
      <c r="A173" s="1">
        <f>VLOOKUP(B173,'Product Cost - Price'!$B$5:$B$223,1,FALSE)</f>
        <v>564058</v>
      </c>
      <c r="B173" s="182">
        <v>564058</v>
      </c>
      <c r="C173" s="44" t="s">
        <v>337</v>
      </c>
      <c r="D173" s="1" t="s">
        <v>337</v>
      </c>
      <c r="E173" s="1" t="s">
        <v>116</v>
      </c>
      <c r="F173" s="2" t="s">
        <v>337</v>
      </c>
      <c r="G173" s="67">
        <v>25.6</v>
      </c>
      <c r="H173" s="1">
        <v>7.3999999999999996E-2</v>
      </c>
      <c r="I173" s="1">
        <v>0</v>
      </c>
      <c r="J173" s="1">
        <v>0</v>
      </c>
      <c r="K173" s="1" t="s">
        <v>23</v>
      </c>
      <c r="L173" s="1" t="s">
        <v>23</v>
      </c>
      <c r="M173" s="1">
        <v>20</v>
      </c>
      <c r="N173" s="1" t="s">
        <v>31</v>
      </c>
      <c r="S173" s="1">
        <v>0</v>
      </c>
    </row>
    <row r="174" spans="1:19" hidden="1" x14ac:dyDescent="0.25">
      <c r="A174" s="1">
        <f>VLOOKUP(B174,'Product Cost - Price'!$B$5:$B$223,1,FALSE)</f>
        <v>564059</v>
      </c>
      <c r="B174" s="182">
        <v>564059</v>
      </c>
      <c r="C174" s="44" t="s">
        <v>338</v>
      </c>
      <c r="D174" s="1" t="s">
        <v>338</v>
      </c>
      <c r="E174" s="1" t="s">
        <v>116</v>
      </c>
      <c r="F174" s="2" t="s">
        <v>338</v>
      </c>
      <c r="G174" s="67">
        <v>1.28</v>
      </c>
      <c r="H174" s="1">
        <v>7.3999999999999996E-2</v>
      </c>
      <c r="I174" s="1">
        <v>0</v>
      </c>
      <c r="J174" s="1">
        <v>0</v>
      </c>
      <c r="K174" s="1" t="s">
        <v>23</v>
      </c>
      <c r="L174" s="1" t="s">
        <v>23</v>
      </c>
      <c r="M174" s="1">
        <v>1</v>
      </c>
      <c r="N174" s="1" t="s">
        <v>31</v>
      </c>
      <c r="S174" s="1">
        <v>0</v>
      </c>
    </row>
    <row r="175" spans="1:19" hidden="1" x14ac:dyDescent="0.25">
      <c r="A175" s="1">
        <f>VLOOKUP(B175,'Product Cost - Price'!$B$5:$B$223,1,FALSE)</f>
        <v>564060</v>
      </c>
      <c r="B175" s="182">
        <v>564060</v>
      </c>
      <c r="C175" s="44" t="s">
        <v>339</v>
      </c>
      <c r="D175" s="1" t="s">
        <v>339</v>
      </c>
      <c r="E175" s="1" t="s">
        <v>116</v>
      </c>
      <c r="F175" s="2" t="s">
        <v>339</v>
      </c>
      <c r="G175" s="67">
        <v>26.4</v>
      </c>
      <c r="H175" s="1">
        <v>7.3999999999999996E-2</v>
      </c>
      <c r="I175" s="1">
        <v>0</v>
      </c>
      <c r="J175" s="1">
        <v>0</v>
      </c>
      <c r="K175" s="1" t="s">
        <v>23</v>
      </c>
      <c r="L175" s="1" t="s">
        <v>23</v>
      </c>
      <c r="M175" s="1">
        <v>20</v>
      </c>
      <c r="N175" s="1" t="s">
        <v>31</v>
      </c>
      <c r="S175" s="1">
        <v>0</v>
      </c>
    </row>
    <row r="176" spans="1:19" hidden="1" x14ac:dyDescent="0.25">
      <c r="A176" s="1">
        <f>VLOOKUP(B176,'Product Cost - Price'!$B$5:$B$223,1,FALSE)</f>
        <v>564061</v>
      </c>
      <c r="B176" s="182">
        <v>564061</v>
      </c>
      <c r="C176" s="44" t="s">
        <v>340</v>
      </c>
      <c r="D176" s="1" t="s">
        <v>340</v>
      </c>
      <c r="E176" s="1" t="s">
        <v>116</v>
      </c>
      <c r="F176" s="2" t="s">
        <v>340</v>
      </c>
      <c r="G176" s="67">
        <v>1.32</v>
      </c>
      <c r="H176" s="1">
        <v>7.3999999999999996E-2</v>
      </c>
      <c r="I176" s="1">
        <v>0</v>
      </c>
      <c r="J176" s="1">
        <v>0</v>
      </c>
      <c r="K176" s="1" t="s">
        <v>23</v>
      </c>
      <c r="L176" s="1" t="s">
        <v>23</v>
      </c>
      <c r="M176" s="1">
        <v>1</v>
      </c>
      <c r="N176" s="1" t="s">
        <v>31</v>
      </c>
      <c r="S176" s="1">
        <v>0</v>
      </c>
    </row>
    <row r="177" spans="1:19" hidden="1" x14ac:dyDescent="0.25">
      <c r="A177" s="1">
        <f>VLOOKUP(B177,'Product Cost - Price'!$B$5:$B$223,1,FALSE)</f>
        <v>564062</v>
      </c>
      <c r="B177" s="182">
        <v>564062</v>
      </c>
      <c r="C177" s="44" t="s">
        <v>341</v>
      </c>
      <c r="D177" s="1" t="s">
        <v>341</v>
      </c>
      <c r="E177" s="1" t="s">
        <v>116</v>
      </c>
      <c r="F177" s="2" t="s">
        <v>341</v>
      </c>
      <c r="G177" s="67">
        <v>17.100000000000001</v>
      </c>
      <c r="H177" s="1">
        <v>7.3999999999999996E-2</v>
      </c>
      <c r="I177" s="1">
        <v>0</v>
      </c>
      <c r="J177" s="1">
        <v>0</v>
      </c>
      <c r="K177" s="1" t="s">
        <v>23</v>
      </c>
      <c r="L177" s="1" t="s">
        <v>23</v>
      </c>
      <c r="M177" s="1">
        <v>15</v>
      </c>
      <c r="N177" s="1" t="s">
        <v>31</v>
      </c>
      <c r="S177" s="1">
        <v>0</v>
      </c>
    </row>
    <row r="178" spans="1:19" hidden="1" x14ac:dyDescent="0.25">
      <c r="A178" s="1">
        <f>VLOOKUP(B178,'Product Cost - Price'!$B$5:$B$223,1,FALSE)</f>
        <v>564063</v>
      </c>
      <c r="B178" s="182">
        <v>564063</v>
      </c>
      <c r="C178" s="44" t="s">
        <v>342</v>
      </c>
      <c r="D178" s="1" t="s">
        <v>342</v>
      </c>
      <c r="E178" s="1" t="s">
        <v>116</v>
      </c>
      <c r="F178" s="2" t="s">
        <v>342</v>
      </c>
      <c r="G178" s="67">
        <v>1.1399999999999999</v>
      </c>
      <c r="H178" s="1">
        <v>7.3999999999999996E-2</v>
      </c>
      <c r="I178" s="1">
        <v>0</v>
      </c>
      <c r="J178" s="1">
        <v>0</v>
      </c>
      <c r="K178" s="1" t="s">
        <v>23</v>
      </c>
      <c r="L178" s="1" t="s">
        <v>23</v>
      </c>
      <c r="M178" s="1">
        <v>1</v>
      </c>
      <c r="N178" s="1" t="s">
        <v>31</v>
      </c>
      <c r="S178" s="1">
        <v>0</v>
      </c>
    </row>
    <row r="179" spans="1:19" hidden="1" x14ac:dyDescent="0.25">
      <c r="A179" s="1">
        <f>VLOOKUP(B179,'Product Cost - Price'!$B$5:$B$223,1,FALSE)</f>
        <v>564064</v>
      </c>
      <c r="B179" s="182">
        <v>564064</v>
      </c>
      <c r="C179" s="44" t="s">
        <v>343</v>
      </c>
      <c r="D179" s="1" t="s">
        <v>343</v>
      </c>
      <c r="E179" s="1" t="s">
        <v>116</v>
      </c>
      <c r="F179" s="2" t="s">
        <v>343</v>
      </c>
      <c r="G179" s="67">
        <v>17.16</v>
      </c>
      <c r="H179" s="1">
        <v>7.3999999999999996E-2</v>
      </c>
      <c r="I179" s="1">
        <v>0</v>
      </c>
      <c r="J179" s="1">
        <v>0</v>
      </c>
      <c r="K179" s="1" t="s">
        <v>23</v>
      </c>
      <c r="L179" s="1" t="s">
        <v>23</v>
      </c>
      <c r="M179" s="1">
        <v>12</v>
      </c>
      <c r="N179" s="1" t="s">
        <v>31</v>
      </c>
      <c r="S179" s="1">
        <v>0</v>
      </c>
    </row>
    <row r="180" spans="1:19" hidden="1" x14ac:dyDescent="0.25">
      <c r="A180" s="1">
        <f>VLOOKUP(B180,'Product Cost - Price'!$B$5:$B$223,1,FALSE)</f>
        <v>564065</v>
      </c>
      <c r="B180" s="182">
        <v>564065</v>
      </c>
      <c r="C180" s="44" t="s">
        <v>344</v>
      </c>
      <c r="D180" s="1" t="s">
        <v>344</v>
      </c>
      <c r="E180" s="1" t="s">
        <v>116</v>
      </c>
      <c r="F180" s="2" t="s">
        <v>344</v>
      </c>
      <c r="G180" s="67">
        <v>1.43</v>
      </c>
      <c r="H180" s="1">
        <v>7.3999999999999996E-2</v>
      </c>
      <c r="I180" s="1">
        <v>0</v>
      </c>
      <c r="J180" s="1">
        <v>0</v>
      </c>
      <c r="K180" s="1" t="s">
        <v>23</v>
      </c>
      <c r="L180" s="1" t="s">
        <v>23</v>
      </c>
      <c r="M180" s="1">
        <v>1</v>
      </c>
      <c r="N180" s="1" t="s">
        <v>31</v>
      </c>
      <c r="S180" s="1">
        <v>0</v>
      </c>
    </row>
    <row r="181" spans="1:19" hidden="1" x14ac:dyDescent="0.25">
      <c r="A181" s="1">
        <f>VLOOKUP(B181,'Product Cost - Price'!$B$5:$B$223,1,FALSE)</f>
        <v>564066</v>
      </c>
      <c r="B181" s="182">
        <v>564066</v>
      </c>
      <c r="C181" s="44" t="s">
        <v>345</v>
      </c>
      <c r="D181" s="1" t="s">
        <v>345</v>
      </c>
      <c r="E181" s="1" t="s">
        <v>116</v>
      </c>
      <c r="F181" s="2" t="s">
        <v>345</v>
      </c>
      <c r="G181" s="67">
        <v>1.01</v>
      </c>
      <c r="H181" s="1">
        <v>7.3999999999999996E-2</v>
      </c>
      <c r="I181" s="1">
        <v>0</v>
      </c>
      <c r="J181" s="1">
        <v>0</v>
      </c>
      <c r="K181" s="1" t="s">
        <v>23</v>
      </c>
      <c r="L181" s="1" t="s">
        <v>23</v>
      </c>
      <c r="M181" s="1">
        <v>1</v>
      </c>
      <c r="N181" s="1" t="s">
        <v>31</v>
      </c>
      <c r="S181" s="1">
        <v>0</v>
      </c>
    </row>
    <row r="182" spans="1:19" hidden="1" x14ac:dyDescent="0.25">
      <c r="A182" s="1">
        <f>VLOOKUP(B182,'Product Cost - Price'!$B$5:$B$223,1,FALSE)</f>
        <v>564067</v>
      </c>
      <c r="B182" s="182">
        <v>564067</v>
      </c>
      <c r="C182" s="44" t="s">
        <v>346</v>
      </c>
      <c r="D182" s="1" t="s">
        <v>346</v>
      </c>
      <c r="E182" s="1" t="s">
        <v>116</v>
      </c>
      <c r="F182" s="2" t="s">
        <v>346</v>
      </c>
      <c r="G182" s="67">
        <v>1.19</v>
      </c>
      <c r="H182" s="1">
        <v>7.3999999999999996E-2</v>
      </c>
      <c r="I182" s="1">
        <v>0</v>
      </c>
      <c r="J182" s="1">
        <v>0</v>
      </c>
      <c r="K182" s="1" t="s">
        <v>23</v>
      </c>
      <c r="L182" s="1" t="s">
        <v>23</v>
      </c>
      <c r="M182" s="1">
        <v>1</v>
      </c>
      <c r="N182" s="1" t="s">
        <v>31</v>
      </c>
      <c r="S182" s="1">
        <v>0</v>
      </c>
    </row>
    <row r="183" spans="1:19" hidden="1" x14ac:dyDescent="0.25">
      <c r="A183" s="1">
        <f>VLOOKUP(B183,'Product Cost - Price'!$B$5:$B$223,1,FALSE)</f>
        <v>564068</v>
      </c>
      <c r="B183" s="182">
        <v>564068</v>
      </c>
      <c r="C183" s="44" t="s">
        <v>347</v>
      </c>
      <c r="D183" s="1" t="s">
        <v>347</v>
      </c>
      <c r="E183" s="1" t="s">
        <v>116</v>
      </c>
      <c r="F183" s="2" t="s">
        <v>347</v>
      </c>
      <c r="G183" s="67">
        <v>1.07</v>
      </c>
      <c r="H183" s="1">
        <v>7.3999999999999996E-2</v>
      </c>
      <c r="I183" s="1">
        <v>0</v>
      </c>
      <c r="J183" s="1">
        <v>0</v>
      </c>
      <c r="K183" s="1" t="s">
        <v>23</v>
      </c>
      <c r="L183" s="1" t="s">
        <v>23</v>
      </c>
      <c r="M183" s="1">
        <v>1</v>
      </c>
      <c r="N183" s="1" t="s">
        <v>31</v>
      </c>
      <c r="S183" s="1">
        <v>0</v>
      </c>
    </row>
    <row r="184" spans="1:19" hidden="1" x14ac:dyDescent="0.25">
      <c r="A184" s="1" t="e">
        <f>VLOOKUP(B184,'Product Cost - Price'!$B$5:$B$223,1,FALSE)</f>
        <v>#N/A</v>
      </c>
      <c r="B184" s="183">
        <v>564069</v>
      </c>
      <c r="C184" s="7" t="s">
        <v>348</v>
      </c>
      <c r="D184" s="1" t="s">
        <v>348</v>
      </c>
      <c r="E184" s="1" t="s">
        <v>116</v>
      </c>
      <c r="F184" s="2" t="s">
        <v>348</v>
      </c>
      <c r="G184" s="67">
        <v>31.08</v>
      </c>
      <c r="H184" s="1">
        <v>7.3999999999999996E-2</v>
      </c>
      <c r="I184" s="1">
        <v>0</v>
      </c>
      <c r="J184" s="1">
        <v>0</v>
      </c>
      <c r="K184" s="1" t="s">
        <v>23</v>
      </c>
      <c r="L184" s="1" t="s">
        <v>23</v>
      </c>
      <c r="M184" s="1">
        <v>20</v>
      </c>
      <c r="N184" s="1" t="s">
        <v>23</v>
      </c>
      <c r="S184" s="1">
        <v>0</v>
      </c>
    </row>
    <row r="185" spans="1:19" hidden="1" x14ac:dyDescent="0.25">
      <c r="A185" s="1" t="e">
        <f>VLOOKUP(B185,'Product Cost - Price'!$B$5:$B$223,1,FALSE)</f>
        <v>#N/A</v>
      </c>
      <c r="B185" s="183">
        <v>564070</v>
      </c>
      <c r="C185" s="7" t="s">
        <v>349</v>
      </c>
      <c r="D185" s="1" t="s">
        <v>349</v>
      </c>
      <c r="E185" s="1" t="s">
        <v>116</v>
      </c>
      <c r="F185" s="2" t="s">
        <v>349</v>
      </c>
      <c r="G185" s="67">
        <v>1.36</v>
      </c>
      <c r="H185" s="1">
        <v>7.3999999999999996E-2</v>
      </c>
      <c r="I185" s="1">
        <v>0</v>
      </c>
      <c r="J185" s="1">
        <v>0</v>
      </c>
      <c r="K185" s="1" t="s">
        <v>23</v>
      </c>
      <c r="L185" s="1" t="s">
        <v>23</v>
      </c>
      <c r="M185" s="1">
        <v>1</v>
      </c>
      <c r="N185" s="1" t="s">
        <v>31</v>
      </c>
      <c r="S185" s="1">
        <v>0</v>
      </c>
    </row>
    <row r="186" spans="1:19" hidden="1" x14ac:dyDescent="0.25">
      <c r="A186" s="1">
        <f>VLOOKUP(B186,'Product Cost - Price'!$B$5:$B$223,1,FALSE)</f>
        <v>564071</v>
      </c>
      <c r="B186" s="182">
        <v>564071</v>
      </c>
      <c r="C186" s="44" t="s">
        <v>350</v>
      </c>
      <c r="D186" s="1" t="s">
        <v>350</v>
      </c>
      <c r="E186" s="1" t="s">
        <v>116</v>
      </c>
      <c r="F186" s="2" t="s">
        <v>350</v>
      </c>
      <c r="G186" s="67">
        <v>23</v>
      </c>
      <c r="H186" s="1">
        <v>7.3999999999999996E-2</v>
      </c>
      <c r="I186" s="1">
        <v>0</v>
      </c>
      <c r="J186" s="1">
        <v>0</v>
      </c>
      <c r="K186" s="1" t="s">
        <v>23</v>
      </c>
      <c r="L186" s="1" t="s">
        <v>23</v>
      </c>
      <c r="M186" s="1">
        <v>20</v>
      </c>
      <c r="N186" s="1" t="s">
        <v>31</v>
      </c>
      <c r="S186" s="1">
        <v>0</v>
      </c>
    </row>
    <row r="187" spans="1:19" hidden="1" x14ac:dyDescent="0.25">
      <c r="A187" s="1">
        <f>VLOOKUP(B187,'Product Cost - Price'!$B$5:$B$223,1,FALSE)</f>
        <v>564072</v>
      </c>
      <c r="B187" s="182">
        <v>564072</v>
      </c>
      <c r="C187" s="44" t="s">
        <v>351</v>
      </c>
      <c r="D187" s="1" t="s">
        <v>351</v>
      </c>
      <c r="E187" s="1" t="s">
        <v>116</v>
      </c>
      <c r="F187" s="2" t="s">
        <v>351</v>
      </c>
      <c r="G187" s="67">
        <v>1.1499999999999999</v>
      </c>
      <c r="H187" s="1">
        <v>7.3999999999999996E-2</v>
      </c>
      <c r="I187" s="1">
        <v>0</v>
      </c>
      <c r="J187" s="1">
        <v>0</v>
      </c>
      <c r="K187" s="1" t="s">
        <v>23</v>
      </c>
      <c r="L187" s="1" t="s">
        <v>23</v>
      </c>
      <c r="M187" s="1">
        <v>1</v>
      </c>
      <c r="N187" s="1" t="s">
        <v>31</v>
      </c>
      <c r="S187" s="1">
        <v>0</v>
      </c>
    </row>
    <row r="188" spans="1:19" hidden="1" x14ac:dyDescent="0.25">
      <c r="A188" s="1">
        <f>VLOOKUP(B188,'Product Cost - Price'!$B$5:$B$223,1,FALSE)</f>
        <v>564073</v>
      </c>
      <c r="B188" s="182">
        <v>564073</v>
      </c>
      <c r="C188" s="44" t="s">
        <v>352</v>
      </c>
      <c r="D188" s="1" t="s">
        <v>352</v>
      </c>
      <c r="E188" s="1" t="s">
        <v>116</v>
      </c>
      <c r="F188" s="2" t="s">
        <v>352</v>
      </c>
      <c r="G188" s="67">
        <v>25.6</v>
      </c>
      <c r="H188" s="1">
        <v>7.3999999999999996E-2</v>
      </c>
      <c r="I188" s="1">
        <v>0</v>
      </c>
      <c r="J188" s="1">
        <v>0</v>
      </c>
      <c r="K188" s="1" t="s">
        <v>23</v>
      </c>
      <c r="L188" s="1" t="s">
        <v>23</v>
      </c>
      <c r="M188" s="1">
        <v>20</v>
      </c>
      <c r="N188" s="1" t="s">
        <v>31</v>
      </c>
      <c r="S188" s="1">
        <v>0</v>
      </c>
    </row>
    <row r="189" spans="1:19" hidden="1" x14ac:dyDescent="0.25">
      <c r="A189" s="1">
        <f>VLOOKUP(B189,'Product Cost - Price'!$B$5:$B$223,1,FALSE)</f>
        <v>564075</v>
      </c>
      <c r="B189" s="182">
        <v>564075</v>
      </c>
      <c r="C189" s="44" t="s">
        <v>353</v>
      </c>
      <c r="D189" s="1" t="s">
        <v>353</v>
      </c>
      <c r="E189" s="1" t="s">
        <v>116</v>
      </c>
      <c r="F189" s="2" t="s">
        <v>353</v>
      </c>
      <c r="G189" s="67">
        <v>0</v>
      </c>
      <c r="H189" s="1">
        <v>7.3999999999999996E-2</v>
      </c>
      <c r="I189" s="1">
        <v>0</v>
      </c>
      <c r="J189" s="1">
        <v>0</v>
      </c>
      <c r="K189" s="1" t="s">
        <v>23</v>
      </c>
      <c r="L189" s="1" t="s">
        <v>23</v>
      </c>
      <c r="M189" s="1">
        <v>20</v>
      </c>
      <c r="N189" s="1" t="s">
        <v>31</v>
      </c>
      <c r="S189" s="1">
        <v>0</v>
      </c>
    </row>
    <row r="190" spans="1:19" hidden="1" x14ac:dyDescent="0.25">
      <c r="A190" s="1">
        <f>VLOOKUP(B190,'Product Cost - Price'!$B$5:$B$223,1,FALSE)</f>
        <v>564076</v>
      </c>
      <c r="B190" s="182">
        <v>564076</v>
      </c>
      <c r="C190" s="44" t="s">
        <v>354</v>
      </c>
      <c r="D190" s="1" t="s">
        <v>354</v>
      </c>
      <c r="E190" s="1" t="s">
        <v>116</v>
      </c>
      <c r="F190" s="2" t="s">
        <v>354</v>
      </c>
      <c r="G190" s="67">
        <v>0</v>
      </c>
      <c r="H190" s="1">
        <v>7.3999999999999996E-2</v>
      </c>
      <c r="I190" s="1">
        <v>0</v>
      </c>
      <c r="J190" s="1">
        <v>0</v>
      </c>
      <c r="K190" s="1" t="s">
        <v>23</v>
      </c>
      <c r="L190" s="1" t="s">
        <v>23</v>
      </c>
      <c r="M190" s="1">
        <v>1</v>
      </c>
      <c r="N190" s="1" t="s">
        <v>31</v>
      </c>
      <c r="S190" s="1">
        <v>0</v>
      </c>
    </row>
    <row r="191" spans="1:19" hidden="1" x14ac:dyDescent="0.25">
      <c r="A191" s="1">
        <f>VLOOKUP(B191,'Product Cost - Price'!$B$5:$B$223,1,FALSE)</f>
        <v>564077</v>
      </c>
      <c r="B191" s="182">
        <v>564077</v>
      </c>
      <c r="C191" s="44" t="s">
        <v>355</v>
      </c>
      <c r="D191" s="1" t="s">
        <v>355</v>
      </c>
      <c r="E191" s="1" t="s">
        <v>116</v>
      </c>
      <c r="F191" s="2" t="s">
        <v>355</v>
      </c>
      <c r="G191" s="67">
        <v>33.4</v>
      </c>
      <c r="H191" s="1">
        <v>7.3999999999999996E-2</v>
      </c>
      <c r="I191" s="1">
        <v>0</v>
      </c>
      <c r="J191" s="1">
        <v>0</v>
      </c>
      <c r="K191" s="1" t="s">
        <v>23</v>
      </c>
      <c r="L191" s="1" t="s">
        <v>23</v>
      </c>
      <c r="M191" s="1">
        <v>20</v>
      </c>
      <c r="N191" s="1" t="s">
        <v>31</v>
      </c>
      <c r="S191" s="1">
        <v>0</v>
      </c>
    </row>
    <row r="192" spans="1:19" hidden="1" x14ac:dyDescent="0.25">
      <c r="A192" s="1">
        <f>VLOOKUP(B192,'Product Cost - Price'!$B$5:$B$223,1,FALSE)</f>
        <v>564078</v>
      </c>
      <c r="B192" s="182">
        <v>564078</v>
      </c>
      <c r="C192" s="44" t="s">
        <v>356</v>
      </c>
      <c r="D192" s="1" t="s">
        <v>356</v>
      </c>
      <c r="E192" s="1" t="s">
        <v>116</v>
      </c>
      <c r="F192" s="2" t="s">
        <v>356</v>
      </c>
      <c r="G192" s="67">
        <v>1.67</v>
      </c>
      <c r="H192" s="1">
        <v>7.3999999999999996E-2</v>
      </c>
      <c r="I192" s="1">
        <v>0</v>
      </c>
      <c r="J192" s="1">
        <v>0</v>
      </c>
      <c r="K192" s="1" t="s">
        <v>23</v>
      </c>
      <c r="L192" s="1" t="s">
        <v>23</v>
      </c>
      <c r="M192" s="1">
        <v>1</v>
      </c>
      <c r="N192" s="1" t="s">
        <v>31</v>
      </c>
      <c r="S192" s="1">
        <v>0</v>
      </c>
    </row>
    <row r="193" spans="1:19" hidden="1" x14ac:dyDescent="0.25">
      <c r="A193" s="1">
        <f>VLOOKUP(B193,'Product Cost - Price'!$B$5:$B$223,1,FALSE)</f>
        <v>564079</v>
      </c>
      <c r="B193" s="182">
        <v>564079</v>
      </c>
      <c r="C193" s="44" t="s">
        <v>357</v>
      </c>
      <c r="D193" s="1" t="s">
        <v>357</v>
      </c>
      <c r="E193" s="1" t="s">
        <v>116</v>
      </c>
      <c r="F193" s="2" t="s">
        <v>357</v>
      </c>
      <c r="G193" s="67">
        <v>22.2</v>
      </c>
      <c r="H193" s="1">
        <v>7.3999999999999996E-2</v>
      </c>
      <c r="I193" s="1">
        <v>0</v>
      </c>
      <c r="J193" s="1">
        <v>0</v>
      </c>
      <c r="K193" s="1" t="s">
        <v>23</v>
      </c>
      <c r="L193" s="1" t="s">
        <v>23</v>
      </c>
      <c r="M193" s="1">
        <v>20</v>
      </c>
      <c r="N193" s="1" t="s">
        <v>31</v>
      </c>
      <c r="S193" s="1">
        <v>0</v>
      </c>
    </row>
    <row r="194" spans="1:19" hidden="1" x14ac:dyDescent="0.25">
      <c r="A194" s="1">
        <f>VLOOKUP(B194,'Product Cost - Price'!$B$5:$B$223,1,FALSE)</f>
        <v>564080</v>
      </c>
      <c r="B194" s="182">
        <v>564080</v>
      </c>
      <c r="C194" s="44" t="s">
        <v>358</v>
      </c>
      <c r="D194" s="1" t="s">
        <v>358</v>
      </c>
      <c r="E194" s="1" t="s">
        <v>116</v>
      </c>
      <c r="F194" s="2" t="s">
        <v>358</v>
      </c>
      <c r="G194" s="67">
        <v>1.1100000000000001</v>
      </c>
      <c r="H194" s="1">
        <v>7.3999999999999996E-2</v>
      </c>
      <c r="I194" s="1">
        <v>0</v>
      </c>
      <c r="J194" s="1">
        <v>0</v>
      </c>
      <c r="K194" s="1" t="s">
        <v>23</v>
      </c>
      <c r="L194" s="1" t="s">
        <v>23</v>
      </c>
      <c r="M194" s="1">
        <v>1</v>
      </c>
      <c r="N194" s="1" t="s">
        <v>31</v>
      </c>
      <c r="S194" s="1">
        <v>0</v>
      </c>
    </row>
    <row r="195" spans="1:19" hidden="1" x14ac:dyDescent="0.25">
      <c r="A195" s="1">
        <f>VLOOKUP(B195,'Product Cost - Price'!$B$5:$B$223,1,FALSE)</f>
        <v>564081</v>
      </c>
      <c r="B195" s="182">
        <v>564081</v>
      </c>
      <c r="C195" s="44" t="s">
        <v>359</v>
      </c>
      <c r="D195" s="1" t="s">
        <v>359</v>
      </c>
      <c r="E195" s="1" t="s">
        <v>116</v>
      </c>
      <c r="F195" s="2" t="s">
        <v>359</v>
      </c>
      <c r="G195" s="67">
        <v>24</v>
      </c>
      <c r="H195" s="1">
        <v>7.3999999999999996E-2</v>
      </c>
      <c r="I195" s="1">
        <v>0</v>
      </c>
      <c r="J195" s="1">
        <v>0</v>
      </c>
      <c r="K195" s="1" t="s">
        <v>23</v>
      </c>
      <c r="L195" s="1" t="s">
        <v>23</v>
      </c>
      <c r="M195" s="1">
        <v>20</v>
      </c>
      <c r="N195" s="1" t="s">
        <v>31</v>
      </c>
      <c r="S195" s="1">
        <v>0</v>
      </c>
    </row>
    <row r="196" spans="1:19" hidden="1" x14ac:dyDescent="0.25">
      <c r="A196" s="1">
        <f>VLOOKUP(B196,'Product Cost - Price'!$B$5:$B$223,1,FALSE)</f>
        <v>564082</v>
      </c>
      <c r="B196" s="182">
        <v>564082</v>
      </c>
      <c r="C196" s="44" t="s">
        <v>360</v>
      </c>
      <c r="D196" s="1" t="s">
        <v>360</v>
      </c>
      <c r="E196" s="1" t="s">
        <v>116</v>
      </c>
      <c r="F196" s="2" t="s">
        <v>360</v>
      </c>
      <c r="G196" s="67">
        <v>1.2</v>
      </c>
      <c r="H196" s="1">
        <v>7.3999999999999996E-2</v>
      </c>
      <c r="I196" s="1">
        <v>0</v>
      </c>
      <c r="J196" s="1">
        <v>0</v>
      </c>
      <c r="K196" s="1" t="s">
        <v>23</v>
      </c>
      <c r="L196" s="1" t="s">
        <v>23</v>
      </c>
      <c r="M196" s="1">
        <v>1</v>
      </c>
      <c r="N196" s="1" t="s">
        <v>31</v>
      </c>
      <c r="S196" s="1">
        <v>0</v>
      </c>
    </row>
    <row r="197" spans="1:19" hidden="1" x14ac:dyDescent="0.25">
      <c r="A197" s="1">
        <f>VLOOKUP(B197,'Product Cost - Price'!$B$5:$B$223,1,FALSE)</f>
        <v>564083</v>
      </c>
      <c r="B197" s="182">
        <v>564083</v>
      </c>
      <c r="C197" s="44" t="s">
        <v>361</v>
      </c>
      <c r="D197" s="1" t="s">
        <v>361</v>
      </c>
      <c r="E197" s="1" t="s">
        <v>116</v>
      </c>
      <c r="F197" s="2" t="s">
        <v>361</v>
      </c>
      <c r="G197" s="67">
        <v>20.2</v>
      </c>
      <c r="H197" s="1">
        <v>7.3999999999999996E-2</v>
      </c>
      <c r="I197" s="1">
        <v>0</v>
      </c>
      <c r="J197" s="1">
        <v>0</v>
      </c>
      <c r="K197" s="1" t="s">
        <v>23</v>
      </c>
      <c r="L197" s="1" t="s">
        <v>23</v>
      </c>
      <c r="M197" s="1">
        <v>20</v>
      </c>
      <c r="N197" s="1" t="s">
        <v>31</v>
      </c>
      <c r="S197" s="1">
        <v>0</v>
      </c>
    </row>
    <row r="198" spans="1:19" hidden="1" x14ac:dyDescent="0.25">
      <c r="A198" s="1">
        <f>VLOOKUP(B198,'Product Cost - Price'!$B$5:$B$223,1,FALSE)</f>
        <v>564085</v>
      </c>
      <c r="B198" s="182">
        <v>564085</v>
      </c>
      <c r="C198" s="44" t="s">
        <v>362</v>
      </c>
      <c r="D198" s="1" t="s">
        <v>362</v>
      </c>
      <c r="E198" s="1" t="s">
        <v>116</v>
      </c>
      <c r="F198" s="2" t="s">
        <v>362</v>
      </c>
      <c r="G198" s="67">
        <v>28.4</v>
      </c>
      <c r="H198" s="1">
        <v>7.3999999999999996E-2</v>
      </c>
      <c r="I198" s="1">
        <v>0</v>
      </c>
      <c r="J198" s="1">
        <v>0</v>
      </c>
      <c r="K198" s="1" t="s">
        <v>23</v>
      </c>
      <c r="L198" s="1" t="s">
        <v>23</v>
      </c>
      <c r="M198" s="1">
        <v>20</v>
      </c>
      <c r="N198" s="1" t="s">
        <v>31</v>
      </c>
      <c r="S198" s="1">
        <v>0</v>
      </c>
    </row>
    <row r="199" spans="1:19" hidden="1" x14ac:dyDescent="0.25">
      <c r="A199" s="1">
        <f>VLOOKUP(B199,'Product Cost - Price'!$B$5:$B$223,1,FALSE)</f>
        <v>564087</v>
      </c>
      <c r="B199" s="182">
        <v>564087</v>
      </c>
      <c r="C199" s="44" t="s">
        <v>363</v>
      </c>
      <c r="D199" s="1" t="s">
        <v>363</v>
      </c>
      <c r="E199" s="1" t="s">
        <v>116</v>
      </c>
      <c r="F199" s="2" t="s">
        <v>363</v>
      </c>
      <c r="G199" s="67">
        <v>44.8</v>
      </c>
      <c r="H199" s="1">
        <v>7.3999999999999996E-2</v>
      </c>
      <c r="I199" s="1">
        <v>0</v>
      </c>
      <c r="J199" s="1">
        <v>0</v>
      </c>
      <c r="K199" s="1" t="s">
        <v>23</v>
      </c>
      <c r="L199" s="1" t="s">
        <v>23</v>
      </c>
      <c r="M199" s="1">
        <v>20</v>
      </c>
      <c r="N199" s="1" t="s">
        <v>31</v>
      </c>
      <c r="S199" s="1">
        <v>0</v>
      </c>
    </row>
    <row r="200" spans="1:19" hidden="1" x14ac:dyDescent="0.25">
      <c r="A200" s="1">
        <f>VLOOKUP(B200,'Product Cost - Price'!$B$5:$B$223,1,FALSE)</f>
        <v>564088</v>
      </c>
      <c r="B200" s="182">
        <v>564088</v>
      </c>
      <c r="C200" s="44" t="s">
        <v>364</v>
      </c>
      <c r="D200" s="1" t="s">
        <v>364</v>
      </c>
      <c r="E200" s="1" t="s">
        <v>116</v>
      </c>
      <c r="F200" s="2" t="s">
        <v>364</v>
      </c>
      <c r="G200" s="67">
        <v>2.2400000000000002</v>
      </c>
      <c r="H200" s="1">
        <v>7.3999999999999996E-2</v>
      </c>
      <c r="I200" s="1">
        <v>0</v>
      </c>
      <c r="J200" s="1">
        <v>0</v>
      </c>
      <c r="K200" s="1" t="s">
        <v>23</v>
      </c>
      <c r="L200" s="1" t="s">
        <v>23</v>
      </c>
      <c r="M200" s="1">
        <v>1</v>
      </c>
      <c r="N200" s="1" t="s">
        <v>31</v>
      </c>
      <c r="S200" s="1">
        <v>0</v>
      </c>
    </row>
    <row r="201" spans="1:19" hidden="1" x14ac:dyDescent="0.25">
      <c r="A201" s="1">
        <f>VLOOKUP(B201,'Product Cost - Price'!$B$5:$B$223,1,FALSE)</f>
        <v>564089</v>
      </c>
      <c r="B201" s="184">
        <v>564089</v>
      </c>
      <c r="C201" s="64" t="s">
        <v>365</v>
      </c>
      <c r="D201" s="1" t="s">
        <v>365</v>
      </c>
      <c r="E201" s="1" t="s">
        <v>116</v>
      </c>
      <c r="F201" s="2" t="s">
        <v>365</v>
      </c>
      <c r="G201" s="67">
        <v>22.4</v>
      </c>
      <c r="H201" s="1">
        <v>7.3999999999999996E-2</v>
      </c>
      <c r="I201" s="1">
        <v>0</v>
      </c>
      <c r="J201" s="1">
        <v>0</v>
      </c>
      <c r="K201" s="1" t="s">
        <v>23</v>
      </c>
      <c r="L201" s="1" t="s">
        <v>23</v>
      </c>
      <c r="M201" s="1">
        <v>20</v>
      </c>
      <c r="N201" s="1" t="s">
        <v>31</v>
      </c>
      <c r="S201" s="1">
        <v>0</v>
      </c>
    </row>
    <row r="202" spans="1:19" hidden="1" x14ac:dyDescent="0.25">
      <c r="A202" s="1">
        <f>VLOOKUP(B202,'Product Cost - Price'!$B$5:$B$223,1,FALSE)</f>
        <v>564090</v>
      </c>
      <c r="B202" s="184">
        <v>564090</v>
      </c>
      <c r="C202" s="64" t="s">
        <v>366</v>
      </c>
      <c r="D202" s="1" t="s">
        <v>366</v>
      </c>
      <c r="E202" s="1" t="s">
        <v>116</v>
      </c>
      <c r="F202" s="2" t="s">
        <v>366</v>
      </c>
      <c r="G202" s="67">
        <v>1.1200000000000001</v>
      </c>
      <c r="H202" s="1">
        <v>7.3999999999999996E-2</v>
      </c>
      <c r="I202" s="1">
        <v>0</v>
      </c>
      <c r="J202" s="1">
        <v>0</v>
      </c>
      <c r="K202" s="1" t="s">
        <v>23</v>
      </c>
      <c r="L202" s="1" t="s">
        <v>23</v>
      </c>
      <c r="M202" s="1">
        <v>1</v>
      </c>
      <c r="N202" s="1" t="s">
        <v>31</v>
      </c>
      <c r="S202" s="1">
        <v>0</v>
      </c>
    </row>
    <row r="203" spans="1:19" hidden="1" x14ac:dyDescent="0.25">
      <c r="A203" s="1">
        <f>VLOOKUP(B203,'Product Cost - Price'!$B$5:$B$223,1,FALSE)</f>
        <v>564091</v>
      </c>
      <c r="B203" s="184">
        <v>564091</v>
      </c>
      <c r="C203" s="64" t="s">
        <v>367</v>
      </c>
      <c r="D203" s="1" t="s">
        <v>367</v>
      </c>
      <c r="E203" s="1" t="s">
        <v>116</v>
      </c>
      <c r="F203" s="2" t="s">
        <v>367</v>
      </c>
      <c r="G203" s="67">
        <v>23</v>
      </c>
      <c r="H203" s="1">
        <v>7.3999999999999996E-2</v>
      </c>
      <c r="I203" s="1">
        <v>0</v>
      </c>
      <c r="J203" s="1">
        <v>0</v>
      </c>
      <c r="K203" s="1" t="s">
        <v>23</v>
      </c>
      <c r="L203" s="1" t="s">
        <v>23</v>
      </c>
      <c r="M203" s="1">
        <v>20</v>
      </c>
      <c r="N203" s="1" t="s">
        <v>31</v>
      </c>
      <c r="S203" s="1">
        <v>0</v>
      </c>
    </row>
    <row r="204" spans="1:19" hidden="1" x14ac:dyDescent="0.25">
      <c r="A204" s="1">
        <f>VLOOKUP(B204,'Product Cost - Price'!$B$5:$B$223,1,FALSE)</f>
        <v>564092</v>
      </c>
      <c r="B204" s="184">
        <v>564092</v>
      </c>
      <c r="C204" s="64" t="s">
        <v>368</v>
      </c>
      <c r="D204" s="1" t="s">
        <v>368</v>
      </c>
      <c r="E204" s="1" t="s">
        <v>116</v>
      </c>
      <c r="F204" s="2" t="s">
        <v>368</v>
      </c>
      <c r="G204" s="67">
        <v>1.1499999999999999</v>
      </c>
      <c r="H204" s="1">
        <v>7.3999999999999996E-2</v>
      </c>
      <c r="I204" s="1">
        <v>0</v>
      </c>
      <c r="J204" s="1">
        <v>0</v>
      </c>
      <c r="K204" s="1" t="s">
        <v>23</v>
      </c>
      <c r="L204" s="1" t="s">
        <v>23</v>
      </c>
      <c r="M204" s="1">
        <v>1</v>
      </c>
      <c r="N204" s="1" t="s">
        <v>31</v>
      </c>
      <c r="S204" s="1">
        <v>0</v>
      </c>
    </row>
    <row r="205" spans="1:19" hidden="1" x14ac:dyDescent="0.25">
      <c r="A205" s="1">
        <f>VLOOKUP(B205,'Product Cost - Price'!$B$5:$B$223,1,FALSE)</f>
        <v>564093</v>
      </c>
      <c r="B205" s="184">
        <v>564093</v>
      </c>
      <c r="C205" s="64" t="s">
        <v>369</v>
      </c>
      <c r="D205" s="1" t="s">
        <v>369</v>
      </c>
      <c r="E205" s="1" t="s">
        <v>116</v>
      </c>
      <c r="F205" s="2" t="s">
        <v>369</v>
      </c>
      <c r="G205" s="67">
        <v>22.2</v>
      </c>
      <c r="H205" s="1">
        <v>7.3999999999999996E-2</v>
      </c>
      <c r="I205" s="1">
        <v>0</v>
      </c>
      <c r="J205" s="1">
        <v>0</v>
      </c>
      <c r="K205" s="1" t="s">
        <v>23</v>
      </c>
      <c r="L205" s="1" t="s">
        <v>23</v>
      </c>
      <c r="M205" s="1">
        <v>20</v>
      </c>
      <c r="N205" s="1" t="s">
        <v>31</v>
      </c>
      <c r="S205" s="1">
        <v>0</v>
      </c>
    </row>
    <row r="206" spans="1:19" hidden="1" x14ac:dyDescent="0.25">
      <c r="A206" s="1">
        <f>VLOOKUP(B206,'Product Cost - Price'!$B$5:$B$223,1,FALSE)</f>
        <v>564094</v>
      </c>
      <c r="B206" s="184">
        <v>564094</v>
      </c>
      <c r="C206" s="64" t="s">
        <v>370</v>
      </c>
      <c r="D206" s="1" t="s">
        <v>370</v>
      </c>
      <c r="E206" s="1" t="s">
        <v>116</v>
      </c>
      <c r="F206" s="2" t="s">
        <v>370</v>
      </c>
      <c r="G206" s="67">
        <v>1.1100000000000001</v>
      </c>
      <c r="H206" s="1">
        <v>7.3999999999999996E-2</v>
      </c>
      <c r="I206" s="1">
        <v>0</v>
      </c>
      <c r="J206" s="1">
        <v>0</v>
      </c>
      <c r="K206" s="1" t="s">
        <v>23</v>
      </c>
      <c r="L206" s="1" t="s">
        <v>23</v>
      </c>
      <c r="M206" s="1">
        <v>1</v>
      </c>
      <c r="N206" s="1" t="s">
        <v>31</v>
      </c>
      <c r="S206" s="1">
        <v>0</v>
      </c>
    </row>
    <row r="207" spans="1:19" hidden="1" x14ac:dyDescent="0.25">
      <c r="A207" s="1">
        <f>VLOOKUP(B207,'Product Cost - Price'!$B$5:$B$223,1,FALSE)</f>
        <v>564095</v>
      </c>
      <c r="B207" s="184">
        <v>564095</v>
      </c>
      <c r="C207" s="64" t="s">
        <v>371</v>
      </c>
      <c r="D207" s="1" t="s">
        <v>371</v>
      </c>
      <c r="E207" s="1" t="s">
        <v>116</v>
      </c>
      <c r="F207" s="2" t="s">
        <v>371</v>
      </c>
      <c r="G207" s="67">
        <v>34.799999999999997</v>
      </c>
      <c r="H207" s="1">
        <v>7.3999999999999996E-2</v>
      </c>
      <c r="I207" s="1">
        <v>0</v>
      </c>
      <c r="J207" s="1">
        <v>0</v>
      </c>
      <c r="K207" s="1" t="s">
        <v>23</v>
      </c>
      <c r="L207" s="1" t="s">
        <v>23</v>
      </c>
      <c r="M207" s="1">
        <v>20</v>
      </c>
      <c r="N207" s="1" t="s">
        <v>31</v>
      </c>
      <c r="S207" s="1">
        <v>0</v>
      </c>
    </row>
    <row r="208" spans="1:19" hidden="1" x14ac:dyDescent="0.25">
      <c r="A208" s="1">
        <f>VLOOKUP(B208,'Product Cost - Price'!$B$5:$B$223,1,FALSE)</f>
        <v>564096</v>
      </c>
      <c r="B208" s="184">
        <v>564096</v>
      </c>
      <c r="C208" s="64" t="s">
        <v>372</v>
      </c>
      <c r="D208" s="1" t="s">
        <v>372</v>
      </c>
      <c r="E208" s="1" t="s">
        <v>116</v>
      </c>
      <c r="F208" s="2" t="s">
        <v>372</v>
      </c>
      <c r="G208" s="67">
        <v>1.74</v>
      </c>
      <c r="H208" s="1">
        <v>7.3999999999999996E-2</v>
      </c>
      <c r="I208" s="1">
        <v>0</v>
      </c>
      <c r="J208" s="1">
        <v>0</v>
      </c>
      <c r="K208" s="1" t="s">
        <v>23</v>
      </c>
      <c r="L208" s="1" t="s">
        <v>23</v>
      </c>
      <c r="M208" s="1">
        <v>1</v>
      </c>
      <c r="N208" s="1" t="s">
        <v>31</v>
      </c>
      <c r="S208" s="1">
        <v>0</v>
      </c>
    </row>
    <row r="209" spans="1:19" hidden="1" x14ac:dyDescent="0.25">
      <c r="A209" s="1">
        <f>VLOOKUP(B209,'Product Cost - Price'!$B$5:$B$223,1,FALSE)</f>
        <v>564128</v>
      </c>
      <c r="B209" s="183">
        <v>564128</v>
      </c>
      <c r="C209" s="7" t="s">
        <v>373</v>
      </c>
      <c r="D209" s="1" t="s">
        <v>373</v>
      </c>
      <c r="E209" s="1" t="s">
        <v>116</v>
      </c>
      <c r="F209" s="2" t="s">
        <v>373</v>
      </c>
      <c r="G209" s="67">
        <v>1.67</v>
      </c>
      <c r="H209" s="1">
        <v>7.3999999999999996E-2</v>
      </c>
      <c r="I209" s="1">
        <v>0</v>
      </c>
      <c r="J209" s="1">
        <v>0</v>
      </c>
      <c r="K209" s="1" t="s">
        <v>23</v>
      </c>
      <c r="L209" s="1" t="s">
        <v>23</v>
      </c>
      <c r="M209" s="1">
        <v>1</v>
      </c>
      <c r="N209" s="1" t="s">
        <v>31</v>
      </c>
      <c r="S209" s="60">
        <v>0</v>
      </c>
    </row>
    <row r="210" spans="1:19" hidden="1" x14ac:dyDescent="0.25">
      <c r="A210" s="1">
        <f>VLOOKUP(B210,'Product Cost - Price'!$B$5:$B$223,1,FALSE)</f>
        <v>564129</v>
      </c>
      <c r="B210" s="183">
        <v>564129</v>
      </c>
      <c r="C210" s="7" t="s">
        <v>374</v>
      </c>
      <c r="D210" s="1" t="s">
        <v>374</v>
      </c>
      <c r="E210" s="1" t="s">
        <v>116</v>
      </c>
      <c r="F210" s="2" t="s">
        <v>374</v>
      </c>
      <c r="G210" s="67">
        <v>25.6</v>
      </c>
      <c r="H210" s="1">
        <v>7.3999999999999996E-2</v>
      </c>
      <c r="I210" s="1">
        <v>0</v>
      </c>
      <c r="J210" s="1">
        <v>0</v>
      </c>
      <c r="K210" s="1" t="s">
        <v>23</v>
      </c>
      <c r="L210" s="1" t="s">
        <v>23</v>
      </c>
      <c r="M210" s="1">
        <v>20</v>
      </c>
      <c r="N210" s="1" t="s">
        <v>31</v>
      </c>
      <c r="S210" s="60">
        <v>0</v>
      </c>
    </row>
    <row r="211" spans="1:19" hidden="1" x14ac:dyDescent="0.25">
      <c r="A211" s="1">
        <f>VLOOKUP(B211,'Product Cost - Price'!$B$5:$B$223,1,FALSE)</f>
        <v>564130</v>
      </c>
      <c r="B211" s="184">
        <v>564130</v>
      </c>
      <c r="C211" s="64" t="s">
        <v>375</v>
      </c>
      <c r="D211" s="1" t="s">
        <v>375</v>
      </c>
      <c r="E211" s="1" t="s">
        <v>116</v>
      </c>
      <c r="F211" s="2" t="s">
        <v>375</v>
      </c>
      <c r="G211" s="67">
        <v>1.28</v>
      </c>
      <c r="H211" s="1">
        <v>7.3999999999999996E-2</v>
      </c>
      <c r="I211" s="1">
        <v>0</v>
      </c>
      <c r="J211" s="1">
        <v>0</v>
      </c>
      <c r="K211" s="1" t="s">
        <v>23</v>
      </c>
      <c r="L211" s="1" t="s">
        <v>23</v>
      </c>
      <c r="M211" s="1">
        <v>1</v>
      </c>
      <c r="N211" s="1" t="s">
        <v>31</v>
      </c>
      <c r="S211" s="1">
        <v>0</v>
      </c>
    </row>
    <row r="212" spans="1:19" hidden="1" x14ac:dyDescent="0.25">
      <c r="A212" s="1">
        <f>VLOOKUP(B212,'Product Cost - Price'!$B$5:$B$223,1,FALSE)</f>
        <v>564131</v>
      </c>
      <c r="B212" s="182">
        <v>564131</v>
      </c>
      <c r="C212" s="44" t="s">
        <v>376</v>
      </c>
      <c r="D212" s="1" t="s">
        <v>376</v>
      </c>
      <c r="E212" s="1" t="s">
        <v>116</v>
      </c>
      <c r="F212" s="2" t="s">
        <v>376</v>
      </c>
      <c r="G212" s="67">
        <v>1.28</v>
      </c>
      <c r="H212" s="1">
        <v>7.3999999999999996E-2</v>
      </c>
      <c r="I212" s="1">
        <v>0</v>
      </c>
      <c r="J212" s="1">
        <v>0</v>
      </c>
      <c r="K212" s="1" t="s">
        <v>23</v>
      </c>
      <c r="L212" s="1" t="s">
        <v>23</v>
      </c>
      <c r="M212" s="1">
        <v>1</v>
      </c>
      <c r="N212" s="1" t="s">
        <v>31</v>
      </c>
      <c r="S212" s="60">
        <v>0</v>
      </c>
    </row>
    <row r="213" spans="1:19" hidden="1" x14ac:dyDescent="0.25">
      <c r="A213" s="1">
        <f>VLOOKUP(B213,'Product Cost - Price'!$B$5:$B$223,1,FALSE)</f>
        <v>564132</v>
      </c>
      <c r="B213" s="184">
        <v>564132</v>
      </c>
      <c r="C213" s="64" t="s">
        <v>377</v>
      </c>
      <c r="D213" s="1" t="s">
        <v>377</v>
      </c>
      <c r="E213" s="1" t="s">
        <v>116</v>
      </c>
      <c r="F213" s="2" t="s">
        <v>377</v>
      </c>
      <c r="G213" s="67">
        <v>1.1100000000000001</v>
      </c>
      <c r="H213" s="1">
        <v>7.3999999999999996E-2</v>
      </c>
      <c r="I213" s="1">
        <v>0</v>
      </c>
      <c r="J213" s="1">
        <v>0</v>
      </c>
      <c r="K213" s="1" t="s">
        <v>23</v>
      </c>
      <c r="L213" s="1" t="s">
        <v>23</v>
      </c>
      <c r="M213" s="1">
        <v>1</v>
      </c>
      <c r="N213" s="1" t="s">
        <v>31</v>
      </c>
      <c r="S213" s="1">
        <v>0</v>
      </c>
    </row>
    <row r="214" spans="1:19" hidden="1" x14ac:dyDescent="0.25">
      <c r="A214" s="1">
        <f>VLOOKUP(B214,'Product Cost - Price'!$B$5:$B$223,1,FALSE)</f>
        <v>564294</v>
      </c>
      <c r="B214" s="184">
        <v>564294</v>
      </c>
      <c r="C214" s="64" t="s">
        <v>378</v>
      </c>
      <c r="D214" s="1" t="s">
        <v>378</v>
      </c>
      <c r="E214" s="1" t="s">
        <v>116</v>
      </c>
      <c r="F214" s="2" t="s">
        <v>378</v>
      </c>
      <c r="G214" s="67">
        <v>23.8</v>
      </c>
      <c r="H214" s="1">
        <v>7.3999999999999996E-2</v>
      </c>
      <c r="I214" s="1">
        <v>0</v>
      </c>
      <c r="J214" s="1">
        <v>0</v>
      </c>
      <c r="K214" s="1" t="s">
        <v>23</v>
      </c>
      <c r="L214" s="1" t="s">
        <v>23</v>
      </c>
      <c r="M214" s="1">
        <v>20</v>
      </c>
      <c r="N214" s="1" t="s">
        <v>31</v>
      </c>
      <c r="S214" s="1">
        <v>0</v>
      </c>
    </row>
    <row r="215" spans="1:19" hidden="1" x14ac:dyDescent="0.25">
      <c r="A215" s="1">
        <f>VLOOKUP(B215,'Product Cost - Price'!$B$5:$B$223,1,FALSE)</f>
        <v>564295</v>
      </c>
      <c r="B215" s="184">
        <v>564295</v>
      </c>
      <c r="C215" s="64" t="s">
        <v>379</v>
      </c>
      <c r="D215" s="1" t="s">
        <v>379</v>
      </c>
      <c r="E215" s="1" t="s">
        <v>116</v>
      </c>
      <c r="F215" s="2" t="s">
        <v>379</v>
      </c>
      <c r="G215" s="67">
        <v>1.19</v>
      </c>
      <c r="H215" s="1">
        <v>7.3999999999999996E-2</v>
      </c>
      <c r="I215" s="1">
        <v>0</v>
      </c>
      <c r="J215" s="1">
        <v>0</v>
      </c>
      <c r="K215" s="1" t="s">
        <v>23</v>
      </c>
      <c r="L215" s="1" t="s">
        <v>23</v>
      </c>
      <c r="M215" s="1">
        <v>1</v>
      </c>
      <c r="N215" s="1" t="s">
        <v>31</v>
      </c>
      <c r="S215" s="1">
        <v>0</v>
      </c>
    </row>
    <row r="216" spans="1:19" hidden="1" x14ac:dyDescent="0.25">
      <c r="A216" s="1">
        <f>VLOOKUP(B216,'Product Cost - Price'!$B$5:$B$223,1,FALSE)</f>
        <v>564811</v>
      </c>
      <c r="B216" s="182">
        <v>564811</v>
      </c>
      <c r="C216" s="44" t="s">
        <v>380</v>
      </c>
      <c r="D216" s="1" t="s">
        <v>380</v>
      </c>
      <c r="E216" s="1" t="s">
        <v>261</v>
      </c>
      <c r="F216" s="2" t="s">
        <v>380</v>
      </c>
      <c r="G216" s="67">
        <v>18.600000000000001</v>
      </c>
      <c r="H216" s="1">
        <v>7.3999999999999996E-2</v>
      </c>
      <c r="I216" s="1">
        <v>0</v>
      </c>
      <c r="J216" s="1">
        <v>0</v>
      </c>
      <c r="K216" s="1" t="s">
        <v>23</v>
      </c>
      <c r="L216" s="1" t="s">
        <v>23</v>
      </c>
      <c r="M216" s="1">
        <v>20</v>
      </c>
      <c r="N216" s="1" t="s">
        <v>31</v>
      </c>
      <c r="S216" s="1">
        <v>0</v>
      </c>
    </row>
    <row r="217" spans="1:19" s="60" customFormat="1" hidden="1" x14ac:dyDescent="0.25">
      <c r="A217" s="1">
        <f>VLOOKUP(B217,'Product Cost - Price'!$B$5:$B$223,1,FALSE)</f>
        <v>565308</v>
      </c>
      <c r="B217" s="182">
        <v>565308</v>
      </c>
      <c r="C217" s="44" t="s">
        <v>381</v>
      </c>
      <c r="D217" s="1" t="s">
        <v>381</v>
      </c>
      <c r="E217" s="1" t="s">
        <v>116</v>
      </c>
      <c r="F217" s="2" t="s">
        <v>381</v>
      </c>
      <c r="G217" s="67">
        <v>1.03</v>
      </c>
      <c r="H217" s="1">
        <v>7.3999999999999996E-2</v>
      </c>
      <c r="I217" s="1">
        <v>0</v>
      </c>
      <c r="J217" s="1">
        <v>0</v>
      </c>
      <c r="K217" s="1" t="s">
        <v>23</v>
      </c>
      <c r="L217" s="1" t="s">
        <v>23</v>
      </c>
      <c r="M217" s="1">
        <v>1</v>
      </c>
      <c r="N217" s="1" t="s">
        <v>31</v>
      </c>
      <c r="O217" s="1"/>
      <c r="P217" s="1"/>
      <c r="Q217" s="1"/>
      <c r="R217" s="1"/>
      <c r="S217" s="1">
        <v>0</v>
      </c>
    </row>
    <row r="218" spans="1:19" s="60" customFormat="1" hidden="1" x14ac:dyDescent="0.25">
      <c r="A218" s="1">
        <f>VLOOKUP(B218,'Product Cost - Price'!$B$5:$B$223,1,FALSE)</f>
        <v>565309</v>
      </c>
      <c r="B218" s="182">
        <v>565309</v>
      </c>
      <c r="C218" s="44" t="s">
        <v>382</v>
      </c>
      <c r="D218" s="1" t="s">
        <v>382</v>
      </c>
      <c r="E218" s="1" t="s">
        <v>116</v>
      </c>
      <c r="F218" s="2" t="s">
        <v>382</v>
      </c>
      <c r="G218" s="67">
        <v>20.6</v>
      </c>
      <c r="H218" s="1">
        <v>7.3999999999999996E-2</v>
      </c>
      <c r="I218" s="1">
        <v>0</v>
      </c>
      <c r="J218" s="1">
        <v>0</v>
      </c>
      <c r="K218" s="1" t="s">
        <v>23</v>
      </c>
      <c r="L218" s="1" t="s">
        <v>23</v>
      </c>
      <c r="M218" s="1">
        <v>20</v>
      </c>
      <c r="N218" s="1" t="s">
        <v>31</v>
      </c>
      <c r="O218" s="1"/>
      <c r="P218" s="1"/>
      <c r="Q218" s="1"/>
      <c r="R218" s="1"/>
      <c r="S218" s="1">
        <v>0</v>
      </c>
    </row>
    <row r="219" spans="1:19" hidden="1" x14ac:dyDescent="0.25">
      <c r="A219" s="1" t="e">
        <f>VLOOKUP(B219,'Product Cost - Price'!$B$5:$B$223,1,FALSE)</f>
        <v>#N/A</v>
      </c>
      <c r="B219" s="182">
        <v>565466</v>
      </c>
      <c r="C219" s="65" t="s">
        <v>383</v>
      </c>
      <c r="D219" s="60" t="s">
        <v>384</v>
      </c>
      <c r="E219" s="60" t="s">
        <v>116</v>
      </c>
      <c r="F219" s="66" t="s">
        <v>383</v>
      </c>
      <c r="G219" s="68">
        <v>1.28</v>
      </c>
      <c r="H219" s="60">
        <v>7.3999999999999996E-2</v>
      </c>
      <c r="I219" s="60">
        <v>0</v>
      </c>
      <c r="J219" s="60">
        <v>0</v>
      </c>
      <c r="K219" s="60" t="s">
        <v>23</v>
      </c>
      <c r="L219" s="60" t="s">
        <v>23</v>
      </c>
      <c r="M219" s="60"/>
      <c r="N219" s="60" t="s">
        <v>31</v>
      </c>
      <c r="O219" s="60"/>
      <c r="P219" s="60"/>
      <c r="Q219" s="60">
        <v>564074</v>
      </c>
      <c r="R219" s="60" t="s">
        <v>385</v>
      </c>
      <c r="S219" s="60">
        <v>0</v>
      </c>
    </row>
    <row r="220" spans="1:19" hidden="1" x14ac:dyDescent="0.25">
      <c r="A220" s="1" t="e">
        <f>VLOOKUP(B220,'Product Cost - Price'!$B$5:$B$223,1,FALSE)</f>
        <v>#N/A</v>
      </c>
      <c r="B220" s="128">
        <v>565467</v>
      </c>
      <c r="C220" s="129" t="s">
        <v>383</v>
      </c>
      <c r="D220" s="60">
        <v>5</v>
      </c>
      <c r="E220" s="60" t="s">
        <v>116</v>
      </c>
      <c r="F220" s="66" t="s">
        <v>383</v>
      </c>
      <c r="G220" s="68">
        <v>1.28</v>
      </c>
      <c r="H220" s="60">
        <v>7.3999999999999996E-2</v>
      </c>
      <c r="I220" s="60">
        <v>0</v>
      </c>
      <c r="J220" s="60">
        <v>0</v>
      </c>
      <c r="K220" s="60" t="s">
        <v>23</v>
      </c>
      <c r="L220" s="60" t="s">
        <v>23</v>
      </c>
      <c r="M220" s="60"/>
      <c r="N220" s="60" t="s">
        <v>31</v>
      </c>
      <c r="O220" s="60"/>
      <c r="P220" s="60"/>
      <c r="Q220" s="60">
        <v>564074</v>
      </c>
      <c r="R220" s="60" t="s">
        <v>385</v>
      </c>
      <c r="S220" s="60">
        <v>0</v>
      </c>
    </row>
    <row r="221" spans="1:19" hidden="1" x14ac:dyDescent="0.25">
      <c r="A221" s="1">
        <f>VLOOKUP(B221,'Product Cost - Price'!$B$5:$B$223,1,FALSE)</f>
        <v>565667</v>
      </c>
      <c r="B221" s="182">
        <v>565667</v>
      </c>
      <c r="C221" s="44" t="s">
        <v>386</v>
      </c>
      <c r="D221" s="1">
        <v>141</v>
      </c>
      <c r="E221" s="1" t="s">
        <v>261</v>
      </c>
      <c r="F221" s="2" t="s">
        <v>386</v>
      </c>
      <c r="G221" s="67">
        <v>12.88</v>
      </c>
      <c r="H221" s="1">
        <v>7.3999999999999996E-2</v>
      </c>
      <c r="I221" s="1">
        <v>0</v>
      </c>
      <c r="J221" s="1">
        <v>0</v>
      </c>
      <c r="K221" s="1" t="s">
        <v>23</v>
      </c>
      <c r="L221" s="1" t="s">
        <v>23</v>
      </c>
      <c r="M221" s="1">
        <v>18</v>
      </c>
      <c r="N221" s="1" t="s">
        <v>31</v>
      </c>
      <c r="S221" s="1">
        <v>0</v>
      </c>
    </row>
    <row r="222" spans="1:19" hidden="1" x14ac:dyDescent="0.25">
      <c r="A222" s="1">
        <f>VLOOKUP(B222,'Product Cost - Price'!$B$5:$B$223,1,FALSE)</f>
        <v>565668</v>
      </c>
      <c r="B222" s="182">
        <v>565668</v>
      </c>
      <c r="C222" s="44" t="s">
        <v>387</v>
      </c>
      <c r="D222" s="1">
        <v>47</v>
      </c>
      <c r="E222" s="1" t="s">
        <v>196</v>
      </c>
      <c r="F222" s="3" t="s">
        <v>387</v>
      </c>
      <c r="G222" s="67">
        <v>13.56</v>
      </c>
      <c r="H222" s="1">
        <v>0</v>
      </c>
      <c r="I222" s="1">
        <v>0</v>
      </c>
      <c r="J222" s="1">
        <v>0</v>
      </c>
      <c r="K222" s="1" t="s">
        <v>23</v>
      </c>
      <c r="L222" s="1" t="s">
        <v>23</v>
      </c>
      <c r="M222" s="1">
        <v>20</v>
      </c>
      <c r="N222" s="1" t="s">
        <v>31</v>
      </c>
      <c r="S222" s="1">
        <v>0</v>
      </c>
    </row>
    <row r="223" spans="1:19" hidden="1" x14ac:dyDescent="0.25">
      <c r="A223" s="1">
        <f>VLOOKUP(B223,'Product Cost - Price'!$B$5:$B$223,1,FALSE)</f>
        <v>565669</v>
      </c>
      <c r="B223" s="182">
        <v>565669</v>
      </c>
      <c r="C223" s="44" t="s">
        <v>388</v>
      </c>
      <c r="D223" s="1">
        <v>124</v>
      </c>
      <c r="E223" s="1" t="s">
        <v>261</v>
      </c>
      <c r="F223" s="2" t="s">
        <v>388</v>
      </c>
      <c r="G223" s="67">
        <v>13.98</v>
      </c>
      <c r="H223" s="1">
        <v>7.3999999999999996E-2</v>
      </c>
      <c r="I223" s="1">
        <v>0</v>
      </c>
      <c r="J223" s="1">
        <v>0</v>
      </c>
      <c r="K223" s="1" t="s">
        <v>23</v>
      </c>
      <c r="L223" s="1" t="s">
        <v>23</v>
      </c>
      <c r="M223" s="1">
        <v>18</v>
      </c>
      <c r="N223" s="1" t="s">
        <v>31</v>
      </c>
      <c r="S223" s="1">
        <v>0</v>
      </c>
    </row>
    <row r="224" spans="1:19" hidden="1" x14ac:dyDescent="0.25">
      <c r="A224" s="1">
        <f>VLOOKUP(B224,'Product Cost - Price'!$B$5:$B$223,1,FALSE)</f>
        <v>565670</v>
      </c>
      <c r="B224" s="182">
        <v>565670</v>
      </c>
      <c r="C224" s="44" t="s">
        <v>389</v>
      </c>
      <c r="D224" s="1">
        <v>145</v>
      </c>
      <c r="E224" s="1" t="s">
        <v>29</v>
      </c>
      <c r="F224" s="2" t="s">
        <v>389</v>
      </c>
      <c r="G224" s="67">
        <v>12.54</v>
      </c>
      <c r="H224" s="1">
        <v>7.3999999999999996E-2</v>
      </c>
      <c r="I224" s="1">
        <v>0</v>
      </c>
      <c r="J224" s="1">
        <v>0</v>
      </c>
      <c r="K224" s="1" t="s">
        <v>23</v>
      </c>
      <c r="L224" s="1" t="s">
        <v>23</v>
      </c>
      <c r="M224" s="1">
        <v>20</v>
      </c>
      <c r="N224" s="1" t="s">
        <v>31</v>
      </c>
      <c r="S224" s="1">
        <v>0</v>
      </c>
    </row>
    <row r="225" spans="1:19" hidden="1" x14ac:dyDescent="0.25">
      <c r="A225" s="1">
        <f>VLOOKUP(B225,'Product Cost - Price'!$B$5:$B$223,1,FALSE)</f>
        <v>565671</v>
      </c>
      <c r="B225" s="182">
        <v>565671</v>
      </c>
      <c r="C225" s="44" t="s">
        <v>390</v>
      </c>
      <c r="D225" s="1">
        <v>332</v>
      </c>
      <c r="E225" s="1" t="s">
        <v>65</v>
      </c>
      <c r="F225" s="3" t="s">
        <v>390</v>
      </c>
      <c r="G225" s="67">
        <v>15.45</v>
      </c>
      <c r="H225" s="1">
        <v>0</v>
      </c>
      <c r="I225" s="1">
        <v>0</v>
      </c>
      <c r="J225" s="1">
        <v>0</v>
      </c>
      <c r="K225" s="1" t="s">
        <v>23</v>
      </c>
      <c r="L225" s="1" t="s">
        <v>23</v>
      </c>
      <c r="M225" s="1">
        <v>20</v>
      </c>
      <c r="N225" s="1" t="s">
        <v>31</v>
      </c>
      <c r="S225" s="1">
        <v>0</v>
      </c>
    </row>
    <row r="226" spans="1:19" hidden="1" x14ac:dyDescent="0.25">
      <c r="A226" s="1">
        <f>VLOOKUP(B226,'Product Cost - Price'!$B$5:$B$223,1,FALSE)</f>
        <v>566842</v>
      </c>
      <c r="B226" s="182">
        <v>566842</v>
      </c>
      <c r="C226" s="44" t="s">
        <v>391</v>
      </c>
      <c r="D226" s="1" t="s">
        <v>391</v>
      </c>
      <c r="E226" s="1" t="s">
        <v>116</v>
      </c>
      <c r="F226" s="2" t="s">
        <v>391</v>
      </c>
      <c r="G226" s="67">
        <v>25.59</v>
      </c>
      <c r="H226" s="1">
        <v>7.3999999999999996E-2</v>
      </c>
      <c r="I226" s="1">
        <v>0</v>
      </c>
      <c r="J226" s="1">
        <v>0</v>
      </c>
      <c r="K226" s="1" t="s">
        <v>23</v>
      </c>
      <c r="L226" s="1" t="s">
        <v>23</v>
      </c>
      <c r="M226" s="1">
        <v>15</v>
      </c>
      <c r="N226" s="1" t="s">
        <v>31</v>
      </c>
      <c r="S226" s="1">
        <v>0</v>
      </c>
    </row>
    <row r="227" spans="1:19" hidden="1" x14ac:dyDescent="0.25">
      <c r="A227" s="1">
        <f>VLOOKUP(B227,'Product Cost - Price'!$B$5:$B$223,1,FALSE)</f>
        <v>566843</v>
      </c>
      <c r="B227" s="182">
        <v>566843</v>
      </c>
      <c r="C227" s="44" t="s">
        <v>392</v>
      </c>
      <c r="D227" s="1" t="s">
        <v>392</v>
      </c>
      <c r="E227" s="1" t="s">
        <v>116</v>
      </c>
      <c r="F227" s="2" t="s">
        <v>392</v>
      </c>
      <c r="G227" s="67">
        <v>27.69</v>
      </c>
      <c r="H227" s="1">
        <v>7.3999999999999996E-2</v>
      </c>
      <c r="I227" s="1">
        <v>0</v>
      </c>
      <c r="J227" s="1">
        <v>0</v>
      </c>
      <c r="K227" s="1" t="s">
        <v>23</v>
      </c>
      <c r="L227" s="1" t="s">
        <v>23</v>
      </c>
      <c r="M227" s="1">
        <v>0</v>
      </c>
      <c r="N227" s="1" t="s">
        <v>31</v>
      </c>
      <c r="S227" s="1">
        <v>0</v>
      </c>
    </row>
    <row r="228" spans="1:19" hidden="1" x14ac:dyDescent="0.25">
      <c r="A228" s="1">
        <f>VLOOKUP(B228,'Product Cost - Price'!$B$5:$B$223,1,FALSE)</f>
        <v>566844</v>
      </c>
      <c r="B228" s="182">
        <v>566844</v>
      </c>
      <c r="C228" s="44" t="s">
        <v>393</v>
      </c>
      <c r="D228" s="1" t="s">
        <v>393</v>
      </c>
      <c r="E228" s="1" t="s">
        <v>65</v>
      </c>
      <c r="F228" s="2" t="s">
        <v>393</v>
      </c>
      <c r="G228" s="67">
        <v>28.55</v>
      </c>
      <c r="H228" s="1">
        <v>7.3999999999999996E-2</v>
      </c>
      <c r="I228" s="1">
        <v>0</v>
      </c>
      <c r="J228" s="1">
        <v>0</v>
      </c>
      <c r="K228" s="1" t="s">
        <v>23</v>
      </c>
      <c r="L228" s="1" t="s">
        <v>23</v>
      </c>
      <c r="M228" s="1">
        <v>0</v>
      </c>
      <c r="N228" s="1" t="s">
        <v>31</v>
      </c>
      <c r="S228" s="1">
        <v>0</v>
      </c>
    </row>
    <row r="229" spans="1:19" hidden="1" x14ac:dyDescent="0.25">
      <c r="A229" s="1">
        <f>VLOOKUP(B229,'Product Cost - Price'!$B$5:$B$223,1,FALSE)</f>
        <v>568239</v>
      </c>
      <c r="B229" s="182">
        <v>568239</v>
      </c>
      <c r="C229" s="44" t="s">
        <v>394</v>
      </c>
      <c r="D229" s="1" t="s">
        <v>394</v>
      </c>
      <c r="E229" s="1" t="s">
        <v>261</v>
      </c>
      <c r="F229" s="3" t="s">
        <v>395</v>
      </c>
      <c r="G229" s="67">
        <v>14.6</v>
      </c>
      <c r="H229" s="1">
        <v>0</v>
      </c>
      <c r="I229" s="1">
        <v>0</v>
      </c>
      <c r="J229" s="1">
        <v>0</v>
      </c>
      <c r="K229" s="1" t="s">
        <v>23</v>
      </c>
      <c r="L229" s="1" t="s">
        <v>23</v>
      </c>
      <c r="M229" s="1">
        <v>20</v>
      </c>
      <c r="N229" s="1" t="s">
        <v>31</v>
      </c>
      <c r="S229" s="1">
        <v>0</v>
      </c>
    </row>
    <row r="230" spans="1:19" hidden="1" x14ac:dyDescent="0.25">
      <c r="A230" s="1">
        <f>VLOOKUP(B230,'Product Cost - Price'!$B$5:$B$223,1,FALSE)</f>
        <v>568240</v>
      </c>
      <c r="B230" s="186">
        <v>568240</v>
      </c>
      <c r="C230" s="1" t="s">
        <v>396</v>
      </c>
      <c r="D230" s="1" t="s">
        <v>396</v>
      </c>
      <c r="E230" s="1" t="s">
        <v>29</v>
      </c>
      <c r="F230" s="3" t="s">
        <v>396</v>
      </c>
      <c r="G230" s="67">
        <v>17.8</v>
      </c>
      <c r="H230" s="1">
        <v>0</v>
      </c>
      <c r="I230" s="1">
        <v>0</v>
      </c>
      <c r="J230" s="1">
        <v>0</v>
      </c>
      <c r="K230" s="1" t="s">
        <v>23</v>
      </c>
      <c r="L230" s="1" t="s">
        <v>23</v>
      </c>
      <c r="M230" s="1">
        <v>20</v>
      </c>
      <c r="N230" s="1" t="s">
        <v>31</v>
      </c>
      <c r="S230" s="1">
        <v>0</v>
      </c>
    </row>
    <row r="231" spans="1:19" hidden="1" x14ac:dyDescent="0.25">
      <c r="A231" s="1">
        <f>VLOOKUP(B231,'Product Cost - Price'!$B$5:$B$223,1,FALSE)</f>
        <v>568241</v>
      </c>
      <c r="B231" s="186">
        <v>568241</v>
      </c>
      <c r="C231" s="1" t="s">
        <v>397</v>
      </c>
      <c r="D231" s="1" t="s">
        <v>397</v>
      </c>
      <c r="E231" s="1" t="s">
        <v>29</v>
      </c>
      <c r="F231" s="3" t="s">
        <v>397</v>
      </c>
      <c r="G231" s="67">
        <v>25.2</v>
      </c>
      <c r="H231" s="1">
        <v>0</v>
      </c>
      <c r="I231" s="1">
        <v>0</v>
      </c>
      <c r="J231" s="1">
        <v>0</v>
      </c>
      <c r="K231" s="1" t="s">
        <v>23</v>
      </c>
      <c r="L231" s="1" t="s">
        <v>23</v>
      </c>
      <c r="M231" s="1">
        <v>20</v>
      </c>
      <c r="N231" s="1" t="s">
        <v>31</v>
      </c>
      <c r="S231" s="1">
        <v>0</v>
      </c>
    </row>
    <row r="232" spans="1:19" hidden="1" x14ac:dyDescent="0.25">
      <c r="A232" s="1">
        <f>VLOOKUP(B232,'Product Cost - Price'!$B$5:$B$223,1,FALSE)</f>
        <v>575716</v>
      </c>
      <c r="B232" s="186">
        <v>575716</v>
      </c>
      <c r="C232" s="1" t="s">
        <v>398</v>
      </c>
      <c r="D232" s="1" t="s">
        <v>399</v>
      </c>
      <c r="E232" s="1" t="s">
        <v>65</v>
      </c>
      <c r="F232" s="2" t="s">
        <v>399</v>
      </c>
      <c r="G232" s="67">
        <v>2.0499999999999998</v>
      </c>
      <c r="H232" s="1">
        <v>7.3999999999999996E-2</v>
      </c>
      <c r="I232" s="1">
        <v>0</v>
      </c>
      <c r="J232" s="1">
        <v>0</v>
      </c>
      <c r="K232" s="1" t="s">
        <v>23</v>
      </c>
      <c r="L232" s="1" t="s">
        <v>23</v>
      </c>
      <c r="M232" s="1">
        <v>0</v>
      </c>
      <c r="N232" s="1" t="s">
        <v>23</v>
      </c>
      <c r="S232" s="1">
        <v>0</v>
      </c>
    </row>
    <row r="233" spans="1:19" hidden="1" x14ac:dyDescent="0.25">
      <c r="A233" s="1">
        <f>VLOOKUP(B233,'Product Cost - Price'!$B$5:$B$223,1,FALSE)</f>
        <v>575717</v>
      </c>
      <c r="B233" s="186">
        <v>575717</v>
      </c>
      <c r="C233" s="1" t="s">
        <v>400</v>
      </c>
      <c r="D233" s="1" t="s">
        <v>400</v>
      </c>
      <c r="E233" s="1" t="s">
        <v>65</v>
      </c>
      <c r="F233" s="2" t="s">
        <v>400</v>
      </c>
      <c r="G233" s="67">
        <v>1</v>
      </c>
      <c r="H233" s="1">
        <v>7.3999999999999996E-2</v>
      </c>
      <c r="I233" s="1">
        <v>0</v>
      </c>
      <c r="J233" s="1">
        <v>0</v>
      </c>
      <c r="K233" s="1" t="s">
        <v>23</v>
      </c>
      <c r="L233" s="1" t="s">
        <v>23</v>
      </c>
      <c r="N233" s="1" t="s">
        <v>23</v>
      </c>
      <c r="S233" s="1">
        <v>0</v>
      </c>
    </row>
    <row r="234" spans="1:19" hidden="1" x14ac:dyDescent="0.25">
      <c r="A234" s="1">
        <f>VLOOKUP(B234,'Product Cost - Price'!$B$5:$B$223,1,FALSE)</f>
        <v>576968</v>
      </c>
      <c r="B234" s="184">
        <v>576968</v>
      </c>
      <c r="C234" s="64" t="s">
        <v>401</v>
      </c>
      <c r="D234" s="1" t="s">
        <v>401</v>
      </c>
      <c r="E234" s="1" t="s">
        <v>116</v>
      </c>
      <c r="F234" s="2" t="s">
        <v>401</v>
      </c>
      <c r="G234" s="67">
        <v>23</v>
      </c>
      <c r="H234" s="1">
        <v>7.3999999999999996E-2</v>
      </c>
      <c r="I234" s="1">
        <v>0</v>
      </c>
      <c r="J234" s="1">
        <v>0</v>
      </c>
      <c r="K234" s="1" t="s">
        <v>23</v>
      </c>
      <c r="L234" s="1" t="s">
        <v>23</v>
      </c>
      <c r="M234" s="1">
        <v>20</v>
      </c>
      <c r="N234" s="1" t="s">
        <v>31</v>
      </c>
      <c r="S234" s="1">
        <v>0</v>
      </c>
    </row>
    <row r="235" spans="1:19" hidden="1" x14ac:dyDescent="0.25">
      <c r="A235" s="1">
        <f>VLOOKUP(B235,'Product Cost - Price'!$B$5:$B$223,1,FALSE)</f>
        <v>577214</v>
      </c>
      <c r="B235" s="182">
        <v>577214</v>
      </c>
      <c r="C235" s="44" t="s">
        <v>402</v>
      </c>
      <c r="D235" s="1" t="s">
        <v>402</v>
      </c>
      <c r="E235" s="1" t="s">
        <v>116</v>
      </c>
      <c r="F235" s="2" t="s">
        <v>402</v>
      </c>
      <c r="G235" s="67">
        <v>1.71</v>
      </c>
      <c r="H235" s="1">
        <v>7.3999999999999996E-2</v>
      </c>
      <c r="I235" s="1">
        <v>0</v>
      </c>
      <c r="J235" s="1">
        <v>0</v>
      </c>
      <c r="K235" s="1" t="s">
        <v>23</v>
      </c>
      <c r="L235" s="1" t="s">
        <v>23</v>
      </c>
      <c r="M235" s="1">
        <v>1</v>
      </c>
      <c r="N235" s="1" t="s">
        <v>31</v>
      </c>
      <c r="S235" s="1">
        <v>0</v>
      </c>
    </row>
    <row r="236" spans="1:19" hidden="1" x14ac:dyDescent="0.25">
      <c r="A236" s="1">
        <f>VLOOKUP(B236,'Product Cost - Price'!$B$5:$B$223,1,FALSE)</f>
        <v>577383</v>
      </c>
      <c r="B236" s="184">
        <v>577383</v>
      </c>
      <c r="C236" s="64" t="s">
        <v>403</v>
      </c>
      <c r="D236" s="1" t="s">
        <v>403</v>
      </c>
      <c r="E236" s="1" t="s">
        <v>116</v>
      </c>
      <c r="F236" s="3" t="s">
        <v>403</v>
      </c>
      <c r="G236" s="67">
        <v>1.55</v>
      </c>
      <c r="H236" s="1">
        <v>0</v>
      </c>
      <c r="I236" s="1">
        <v>0</v>
      </c>
      <c r="J236" s="1">
        <v>0</v>
      </c>
      <c r="K236" s="1" t="s">
        <v>23</v>
      </c>
      <c r="L236" s="1" t="s">
        <v>23</v>
      </c>
      <c r="M236" s="1">
        <v>1</v>
      </c>
      <c r="N236" s="1" t="s">
        <v>31</v>
      </c>
      <c r="S236" s="1">
        <v>0</v>
      </c>
    </row>
    <row r="237" spans="1:19" hidden="1" x14ac:dyDescent="0.25">
      <c r="A237" s="1">
        <f>VLOOKUP(B237,'Product Cost - Price'!$B$5:$B$223,1,FALSE)</f>
        <v>578051</v>
      </c>
      <c r="B237" s="184">
        <v>578051</v>
      </c>
      <c r="C237" s="64" t="s">
        <v>404</v>
      </c>
      <c r="D237" s="1" t="s">
        <v>404</v>
      </c>
      <c r="E237" s="1" t="s">
        <v>116</v>
      </c>
      <c r="F237" s="2" t="s">
        <v>404</v>
      </c>
      <c r="G237" s="67">
        <v>1.21</v>
      </c>
      <c r="H237" s="1">
        <v>7.3999999999999996E-2</v>
      </c>
      <c r="I237" s="1">
        <v>0</v>
      </c>
      <c r="J237" s="1">
        <v>0</v>
      </c>
      <c r="K237" s="1" t="s">
        <v>23</v>
      </c>
      <c r="L237" s="1" t="s">
        <v>23</v>
      </c>
      <c r="M237" s="1">
        <v>1</v>
      </c>
      <c r="N237" s="1" t="s">
        <v>31</v>
      </c>
      <c r="S237" s="1">
        <v>0</v>
      </c>
    </row>
    <row r="245" spans="3:7" x14ac:dyDescent="0.25">
      <c r="G245" s="4"/>
    </row>
    <row r="247" spans="3:7" x14ac:dyDescent="0.25">
      <c r="G247" s="69"/>
    </row>
    <row r="249" spans="3:7" x14ac:dyDescent="0.25">
      <c r="G249" s="70"/>
    </row>
    <row r="251" spans="3:7" x14ac:dyDescent="0.25">
      <c r="C251" s="185"/>
    </row>
    <row r="254" spans="3:7" x14ac:dyDescent="0.25">
      <c r="C254" s="119"/>
      <c r="G254" s="7"/>
    </row>
    <row r="257" spans="7:7" x14ac:dyDescent="0.25">
      <c r="G257" s="71"/>
    </row>
  </sheetData>
  <autoFilter ref="A1:S237" xr:uid="{44AAC044-D640-4AE4-B57E-AD3443DEB771}">
    <filterColumn colId="2">
      <filters>
        <filter val="White French Millet Cleaned &amp; Graded 20kg"/>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11F6-E6BB-46C1-8D1F-C57EC065FE3D}">
  <sheetPr>
    <tabColor theme="7" tint="0.79998168889431442"/>
  </sheetPr>
  <dimension ref="A1:AN237"/>
  <sheetViews>
    <sheetView topLeftCell="G1" zoomScaleNormal="100" workbookViewId="0">
      <selection activeCell="L37" sqref="L37"/>
    </sheetView>
  </sheetViews>
  <sheetFormatPr defaultColWidth="9.109375" defaultRowHeight="18" customHeight="1" x14ac:dyDescent="0.25"/>
  <cols>
    <col min="1" max="1" width="22.44140625" style="6" customWidth="1"/>
    <col min="2" max="2" width="17.109375" style="6" customWidth="1"/>
    <col min="3" max="3" width="67.5546875" style="4" bestFit="1" customWidth="1"/>
    <col min="4" max="4" width="35.44140625" style="4" customWidth="1"/>
    <col min="5" max="5" width="21.5546875" style="6" customWidth="1"/>
    <col min="6" max="6" width="16.109375" style="6" customWidth="1"/>
    <col min="7" max="7" width="24.109375" style="6" customWidth="1"/>
    <col min="8" max="8" width="19.88671875" style="6" customWidth="1"/>
    <col min="9" max="9" width="29" style="6" customWidth="1"/>
    <col min="10" max="10" width="14.88671875" style="6" customWidth="1"/>
    <col min="11" max="11" width="15.109375" style="6" customWidth="1"/>
    <col min="12" max="12" width="20.5546875" style="1" customWidth="1"/>
    <col min="13" max="13" width="16.5546875" style="1" customWidth="1"/>
    <col min="14" max="14" width="15.88671875" style="1" customWidth="1"/>
    <col min="15" max="16" width="12.44140625" style="1" customWidth="1"/>
    <col min="17" max="17" width="16.44140625" style="1" customWidth="1"/>
    <col min="18" max="18" width="19.88671875" style="1" customWidth="1"/>
    <col min="19" max="19" width="5.88671875" style="1" customWidth="1"/>
    <col min="20" max="20" width="14.109375" style="6" customWidth="1"/>
    <col min="21" max="21" width="14.109375" style="1" customWidth="1"/>
    <col min="22" max="22" width="7.109375" style="1" customWidth="1"/>
    <col min="23" max="23" width="24.5546875" style="1" customWidth="1"/>
    <col min="24" max="25" width="11" style="1" customWidth="1"/>
    <col min="26" max="26" width="4.88671875" style="1" customWidth="1"/>
    <col min="27" max="27" width="20.44140625" style="1" customWidth="1"/>
    <col min="28" max="28" width="15.44140625" style="1" customWidth="1"/>
    <col min="29" max="29" width="17.44140625" style="1" customWidth="1"/>
    <col min="30" max="36" width="9.109375" style="1"/>
    <col min="37" max="37" width="10.44140625" style="1" bestFit="1" customWidth="1"/>
    <col min="38" max="38" width="14.44140625" style="1" bestFit="1" customWidth="1"/>
    <col min="39" max="39" width="36.44140625" style="1" bestFit="1" customWidth="1"/>
    <col min="40" max="16384" width="9.109375" style="1"/>
  </cols>
  <sheetData>
    <row r="1" spans="1:40" s="37" customFormat="1" ht="30.75" customHeight="1" x14ac:dyDescent="0.3">
      <c r="A1" s="110"/>
      <c r="B1" s="110"/>
      <c r="C1" s="111"/>
      <c r="D1" s="111"/>
      <c r="E1" s="110"/>
      <c r="F1" s="110"/>
      <c r="G1" s="110"/>
      <c r="H1" s="110"/>
      <c r="I1" s="110"/>
      <c r="J1" s="110" t="s">
        <v>405</v>
      </c>
      <c r="K1" s="110"/>
      <c r="L1" s="294" t="s">
        <v>18</v>
      </c>
      <c r="M1" s="294"/>
      <c r="N1" s="294"/>
      <c r="O1" s="294"/>
      <c r="P1" s="294"/>
      <c r="Q1" s="294"/>
      <c r="R1" s="294"/>
      <c r="T1" s="302" t="s">
        <v>406</v>
      </c>
      <c r="U1" s="302"/>
    </row>
    <row r="2" spans="1:40" ht="14.4" thickBot="1" x14ac:dyDescent="0.3"/>
    <row r="3" spans="1:40" ht="14.4" thickBot="1" x14ac:dyDescent="0.3">
      <c r="L3" s="295" t="s">
        <v>407</v>
      </c>
      <c r="M3" s="296"/>
      <c r="N3" s="296"/>
      <c r="O3" s="296"/>
      <c r="P3" s="296"/>
      <c r="Q3" s="296"/>
      <c r="R3" s="80" t="s">
        <v>408</v>
      </c>
    </row>
    <row r="4" spans="1:40" s="59" customFormat="1" ht="27.6" x14ac:dyDescent="0.25">
      <c r="A4" s="229" t="s">
        <v>409</v>
      </c>
      <c r="B4" s="230" t="s">
        <v>1</v>
      </c>
      <c r="C4" s="230" t="s">
        <v>2</v>
      </c>
      <c r="D4" s="230" t="s">
        <v>410</v>
      </c>
      <c r="E4" s="231" t="s">
        <v>411</v>
      </c>
      <c r="F4" s="231" t="s">
        <v>412</v>
      </c>
      <c r="G4" s="231" t="s">
        <v>413</v>
      </c>
      <c r="H4" s="231" t="s">
        <v>414</v>
      </c>
      <c r="I4" s="249" t="s">
        <v>415</v>
      </c>
      <c r="J4" s="231" t="s">
        <v>416</v>
      </c>
      <c r="K4" s="250" t="s">
        <v>6</v>
      </c>
      <c r="L4" s="251" t="s">
        <v>417</v>
      </c>
      <c r="M4" s="231" t="s">
        <v>418</v>
      </c>
      <c r="N4" s="231" t="s">
        <v>419</v>
      </c>
      <c r="O4" s="231" t="s">
        <v>420</v>
      </c>
      <c r="P4" s="231" t="s">
        <v>421</v>
      </c>
      <c r="Q4" s="231" t="s">
        <v>422</v>
      </c>
      <c r="R4" s="249" t="s">
        <v>423</v>
      </c>
      <c r="T4" s="252" t="s">
        <v>416</v>
      </c>
      <c r="U4" s="253" t="s">
        <v>6</v>
      </c>
      <c r="W4" s="297" t="s">
        <v>424</v>
      </c>
      <c r="X4" s="297"/>
      <c r="Y4" s="297"/>
      <c r="AA4" s="301" t="s">
        <v>425</v>
      </c>
      <c r="AB4" s="301"/>
      <c r="AC4" s="301"/>
    </row>
    <row r="5" spans="1:40" ht="14.4" thickBot="1" x14ac:dyDescent="0.3">
      <c r="A5" s="226" t="s">
        <v>426</v>
      </c>
      <c r="B5" s="13">
        <v>404266</v>
      </c>
      <c r="C5" s="41" t="s">
        <v>62</v>
      </c>
      <c r="D5" s="50" t="s">
        <v>427</v>
      </c>
      <c r="E5" s="13" t="s">
        <v>428</v>
      </c>
      <c r="F5" s="13" t="s">
        <v>429</v>
      </c>
      <c r="G5" s="13">
        <v>20</v>
      </c>
      <c r="H5" s="13">
        <v>48</v>
      </c>
      <c r="I5" s="49" t="s">
        <v>430</v>
      </c>
      <c r="J5" s="88"/>
      <c r="K5" s="94"/>
      <c r="L5" s="73">
        <f>VLOOKUP(ProductCost[[#This Row],[Mix / Product Name]],'M - All'!$B$100:$D$330,3,FALSE)</f>
        <v>0.54442968749999998</v>
      </c>
      <c r="M5" s="19">
        <f>IFERROR(IF(OR(A5="PHF Horse Mixes",A5="Peckish",A5="Hay &amp; Straw",ProductCost[[#This Row],[Bagging Process]]=""),0,$Y$7),0)</f>
        <v>5.5E-2</v>
      </c>
      <c r="N5" s="19">
        <f>IFERROR(VLOOKUP(ProductCost[[#This Row],[Bagging Process]],$W$11:$Y$20,3,FALSE),0)</f>
        <v>0.04</v>
      </c>
      <c r="O5" s="23">
        <f t="shared" ref="O5:O68" si="0">IF(ISNUMBER(SEARCH("Cracked",C5)),$Y$8,0)</f>
        <v>0</v>
      </c>
      <c r="P5" s="23">
        <f t="shared" ref="P5:P68" si="1">IF(A5="Peckish",$X$28,IF(E5="1.5 kg",$X$27,IF(F5= "No bag",0,IF(E5="Standard",$X$24,$X$25/G5)+IF(F5="Yes",-$X$26,0))))</f>
        <v>6.25E-2</v>
      </c>
      <c r="Q5" s="23">
        <f t="shared" ref="Q5:Q68" si="2">IF(A5="Peckish",$X$36/H5,IF(A5="Hay &amp; Straw",$X$37/H5,IF(OR(E5="Standard",E5="Per Unit"),$X$35/H5,IF(E5="Bulka",$X$35/G5,$X$35/1000*G5))))</f>
        <v>1.4583333333333333</v>
      </c>
      <c r="R5" s="227">
        <f t="shared" ref="R5:R68" si="3">IF(E5="Standard",SUM(L5:O5)*G5+SUM(P5:Q5),IF(OR(E5="Bulka",E5="Per Unit"),SUM(L5:Q5),(SUM(L5:O5)*G5+SUM(P5:Q5))*8))</f>
        <v>14.309427083333334</v>
      </c>
      <c r="T5" s="96">
        <f t="shared" ref="T5:T68" si="4">IFERROR(IF(J5="",R5/(1-VLOOKUP(A5,$AA$7:$AC$21,2,FALSE)),R5/(1-J5)),"n/a")</f>
        <v>18.463776881720431</v>
      </c>
      <c r="U5" s="114" t="str">
        <f t="shared" ref="U5:U68" si="5">IFERROR(IF(AND(A5="Straight Grain",E5="Bulka"),ROUNDUP(IF(K5="",R5/(1-VLOOKUP(A5,$AA$7:$AC$21,3,FALSE)),R5/(1-K5)),2),ROUNDUP(IF(K5="",R5/(1-VLOOKUP(A5,$AA$7:$AC$21,3,FALSE)),R5/(1-K5)),1)),"n/a")</f>
        <v>n/a</v>
      </c>
      <c r="V5" s="4"/>
      <c r="AJ5" s="1" t="s">
        <v>428</v>
      </c>
      <c r="AK5" s="1" t="s">
        <v>429</v>
      </c>
      <c r="AL5" s="7" t="s">
        <v>431</v>
      </c>
      <c r="AM5" s="1" t="str" cm="1">
        <f t="array" ref="AM5:AM88">AllMix[[#Data],[Product]]</f>
        <v>Blue Budgie</v>
      </c>
      <c r="AN5" s="1" t="s">
        <v>430</v>
      </c>
    </row>
    <row r="6" spans="1:40" ht="13.8" x14ac:dyDescent="0.25">
      <c r="A6" s="226" t="s">
        <v>426</v>
      </c>
      <c r="B6" s="13">
        <v>472760</v>
      </c>
      <c r="C6" s="41" t="s">
        <v>214</v>
      </c>
      <c r="D6" s="50" t="s">
        <v>432</v>
      </c>
      <c r="E6" s="13" t="s">
        <v>428</v>
      </c>
      <c r="F6" s="13" t="s">
        <v>429</v>
      </c>
      <c r="G6" s="13">
        <v>20</v>
      </c>
      <c r="H6" s="13">
        <v>48</v>
      </c>
      <c r="I6" s="49" t="s">
        <v>430</v>
      </c>
      <c r="J6" s="88"/>
      <c r="K6" s="94"/>
      <c r="L6" s="73">
        <f>VLOOKUP(ProductCost[[#This Row],[Mix / Product Name]],'M - All'!$B$100:$D$330,3,FALSE)</f>
        <v>0.64053376205787771</v>
      </c>
      <c r="M6" s="19">
        <f>IFERROR(IF(OR(A6="PHF Horse Mixes",A6="Peckish",A6="Hay &amp; Straw",ProductCost[[#This Row],[Bagging Process]]=""),0,$Y$7),0)</f>
        <v>5.5E-2</v>
      </c>
      <c r="N6" s="19">
        <f>IFERROR(VLOOKUP(ProductCost[[#This Row],[Bagging Process]],$W$11:$Y$20,3,FALSE),0)</f>
        <v>0.04</v>
      </c>
      <c r="O6" s="23">
        <f t="shared" si="0"/>
        <v>0</v>
      </c>
      <c r="P6" s="23">
        <f t="shared" si="1"/>
        <v>6.25E-2</v>
      </c>
      <c r="Q6" s="23">
        <f t="shared" si="2"/>
        <v>1.4583333333333333</v>
      </c>
      <c r="R6" s="227">
        <f t="shared" si="3"/>
        <v>16.231508574490888</v>
      </c>
      <c r="T6" s="96">
        <f t="shared" si="4"/>
        <v>20.943882031601145</v>
      </c>
      <c r="U6" s="114" t="str">
        <f t="shared" si="5"/>
        <v>n/a</v>
      </c>
      <c r="V6" s="4"/>
      <c r="W6" s="104" t="s">
        <v>433</v>
      </c>
      <c r="X6" s="100" t="s">
        <v>434</v>
      </c>
      <c r="Y6" s="105" t="s">
        <v>407</v>
      </c>
      <c r="AA6" s="86" t="s">
        <v>409</v>
      </c>
      <c r="AB6" s="89" t="s">
        <v>416</v>
      </c>
      <c r="AC6" s="87" t="s">
        <v>6</v>
      </c>
      <c r="AJ6" s="1" t="s">
        <v>435</v>
      </c>
      <c r="AK6" s="1" t="s">
        <v>436</v>
      </c>
      <c r="AM6" s="1" t="str">
        <v>Blue Sky Budgie Mix</v>
      </c>
      <c r="AN6" s="1" t="s">
        <v>437</v>
      </c>
    </row>
    <row r="7" spans="1:40" ht="13.8" x14ac:dyDescent="0.25">
      <c r="A7" s="226" t="s">
        <v>426</v>
      </c>
      <c r="B7" s="13">
        <v>472761</v>
      </c>
      <c r="C7" s="41" t="s">
        <v>215</v>
      </c>
      <c r="D7" s="50" t="s">
        <v>438</v>
      </c>
      <c r="E7" s="13" t="s">
        <v>428</v>
      </c>
      <c r="F7" s="13" t="s">
        <v>429</v>
      </c>
      <c r="G7" s="13">
        <v>20</v>
      </c>
      <c r="H7" s="13">
        <v>48</v>
      </c>
      <c r="I7" s="49" t="s">
        <v>430</v>
      </c>
      <c r="J7" s="88"/>
      <c r="K7" s="94"/>
      <c r="L7" s="73">
        <f>VLOOKUP(ProductCost[[#This Row],[Mix / Product Name]],'M - All'!$B$100:$D$330,3,FALSE)</f>
        <v>0.66285608856088551</v>
      </c>
      <c r="M7" s="19">
        <f>IFERROR(IF(OR(A7="PHF Horse Mixes",A7="Peckish",A7="Hay &amp; Straw",ProductCost[[#This Row],[Bagging Process]]=""),0,$Y$7),0)</f>
        <v>5.5E-2</v>
      </c>
      <c r="N7" s="19">
        <f>IFERROR(VLOOKUP(ProductCost[[#This Row],[Bagging Process]],$W$11:$Y$20,3,FALSE),0)</f>
        <v>0.04</v>
      </c>
      <c r="O7" s="23">
        <f t="shared" si="0"/>
        <v>0</v>
      </c>
      <c r="P7" s="23">
        <f t="shared" si="1"/>
        <v>6.25E-2</v>
      </c>
      <c r="Q7" s="23">
        <f t="shared" si="2"/>
        <v>1.4583333333333333</v>
      </c>
      <c r="R7" s="227">
        <f t="shared" si="3"/>
        <v>16.677955104551046</v>
      </c>
      <c r="T7" s="96">
        <f t="shared" si="4"/>
        <v>21.519942070388446</v>
      </c>
      <c r="U7" s="114" t="str">
        <f t="shared" si="5"/>
        <v>n/a</v>
      </c>
      <c r="V7" s="4"/>
      <c r="W7" s="81" t="s">
        <v>418</v>
      </c>
      <c r="X7" s="50">
        <v>55</v>
      </c>
      <c r="Y7" s="74">
        <f>X7/1000</f>
        <v>5.5E-2</v>
      </c>
      <c r="AA7" s="84" t="s">
        <v>439</v>
      </c>
      <c r="AB7" s="93" t="s">
        <v>440</v>
      </c>
      <c r="AC7" s="113">
        <v>0.2</v>
      </c>
      <c r="AJ7" s="1" t="s">
        <v>441</v>
      </c>
      <c r="AM7" s="1" t="str">
        <v>Blue Sky Parrot Mix</v>
      </c>
      <c r="AN7" s="1" t="s">
        <v>439</v>
      </c>
    </row>
    <row r="8" spans="1:40" ht="14.4" thickBot="1" x14ac:dyDescent="0.3">
      <c r="A8" s="226" t="s">
        <v>426</v>
      </c>
      <c r="B8" s="13">
        <v>482692</v>
      </c>
      <c r="C8" s="41" t="s">
        <v>216</v>
      </c>
      <c r="D8" s="50" t="s">
        <v>432</v>
      </c>
      <c r="E8" s="13" t="s">
        <v>435</v>
      </c>
      <c r="F8" s="13"/>
      <c r="G8" s="13">
        <v>1000</v>
      </c>
      <c r="H8" s="13">
        <v>1</v>
      </c>
      <c r="I8" s="49" t="s">
        <v>430</v>
      </c>
      <c r="J8" s="88"/>
      <c r="K8" s="94"/>
      <c r="L8" s="73">
        <f>VLOOKUP(ProductCost[[#This Row],[Mix / Product Name]],'M - All'!$B$100:$D$330,3,FALSE)</f>
        <v>0.64053376205787771</v>
      </c>
      <c r="M8" s="19">
        <f>IFERROR(IF(OR(A8="PHF Horse Mixes",A8="Peckish",A8="Hay &amp; Straw",ProductCost[[#This Row],[Bagging Process]]=""),0,$Y$7),0)</f>
        <v>5.5E-2</v>
      </c>
      <c r="N8" s="19">
        <f>IFERROR(VLOOKUP(ProductCost[[#This Row],[Bagging Process]],$W$11:$Y$20,3,FALSE),0)</f>
        <v>0.04</v>
      </c>
      <c r="O8" s="23">
        <f t="shared" si="0"/>
        <v>0</v>
      </c>
      <c r="P8" s="23">
        <f t="shared" si="1"/>
        <v>1.72E-2</v>
      </c>
      <c r="Q8" s="23">
        <f t="shared" si="2"/>
        <v>7.0000000000000007E-2</v>
      </c>
      <c r="R8" s="227">
        <f t="shared" si="3"/>
        <v>0.82273376205787785</v>
      </c>
      <c r="T8" s="96">
        <f t="shared" si="4"/>
        <v>1.061591951042423</v>
      </c>
      <c r="U8" s="114" t="str">
        <f t="shared" si="5"/>
        <v>n/a</v>
      </c>
      <c r="V8" s="4"/>
      <c r="W8" s="82" t="s">
        <v>420</v>
      </c>
      <c r="X8" s="112">
        <v>25</v>
      </c>
      <c r="Y8" s="78">
        <f>X8/1000</f>
        <v>2.5000000000000001E-2</v>
      </c>
      <c r="AA8" s="84" t="s">
        <v>426</v>
      </c>
      <c r="AB8" s="93">
        <v>0.22500000000000001</v>
      </c>
      <c r="AC8" s="113" t="s">
        <v>440</v>
      </c>
      <c r="AJ8" s="1" t="s">
        <v>442</v>
      </c>
      <c r="AM8" s="1" t="str">
        <v>Budgie Mix</v>
      </c>
      <c r="AN8" s="1" t="s">
        <v>443</v>
      </c>
    </row>
    <row r="9" spans="1:40" ht="14.4" thickBot="1" x14ac:dyDescent="0.3">
      <c r="A9" s="226" t="s">
        <v>426</v>
      </c>
      <c r="B9" s="13">
        <v>482693</v>
      </c>
      <c r="C9" s="41" t="s">
        <v>217</v>
      </c>
      <c r="D9" s="50" t="s">
        <v>438</v>
      </c>
      <c r="E9" s="13" t="s">
        <v>435</v>
      </c>
      <c r="F9" s="13"/>
      <c r="G9" s="13">
        <v>1000</v>
      </c>
      <c r="H9" s="13">
        <v>1</v>
      </c>
      <c r="I9" s="49" t="s">
        <v>430</v>
      </c>
      <c r="J9" s="88"/>
      <c r="K9" s="94"/>
      <c r="L9" s="73">
        <f>VLOOKUP(ProductCost[[#This Row],[Mix / Product Name]],'M - All'!$B$100:$D$330,3,FALSE)</f>
        <v>0.66285608856088551</v>
      </c>
      <c r="M9" s="19">
        <f>IFERROR(IF(OR(A9="PHF Horse Mixes",A9="Peckish",A9="Hay &amp; Straw",ProductCost[[#This Row],[Bagging Process]]=""),0,$Y$7),0)</f>
        <v>5.5E-2</v>
      </c>
      <c r="N9" s="19">
        <f>IFERROR(VLOOKUP(ProductCost[[#This Row],[Bagging Process]],$W$11:$Y$20,3,FALSE),0)</f>
        <v>0.04</v>
      </c>
      <c r="O9" s="23">
        <f t="shared" si="0"/>
        <v>0</v>
      </c>
      <c r="P9" s="23">
        <f t="shared" si="1"/>
        <v>1.72E-2</v>
      </c>
      <c r="Q9" s="23">
        <f t="shared" si="2"/>
        <v>7.0000000000000007E-2</v>
      </c>
      <c r="R9" s="227">
        <f t="shared" si="3"/>
        <v>0.84505608856088554</v>
      </c>
      <c r="T9" s="96">
        <f t="shared" si="4"/>
        <v>1.0903949529817878</v>
      </c>
      <c r="U9" s="114" t="str">
        <f t="shared" si="5"/>
        <v>n/a</v>
      </c>
      <c r="V9" s="4"/>
      <c r="X9" s="24"/>
      <c r="Y9" s="24"/>
      <c r="AA9" s="84" t="s">
        <v>42</v>
      </c>
      <c r="AB9" s="93">
        <v>0.22500000000000001</v>
      </c>
      <c r="AC9" s="113">
        <v>0.31</v>
      </c>
      <c r="AM9" s="1" t="str">
        <v>Canary Mix</v>
      </c>
      <c r="AN9" s="1" t="s">
        <v>21</v>
      </c>
    </row>
    <row r="10" spans="1:40" ht="13.8" x14ac:dyDescent="0.25">
      <c r="A10" s="226" t="s">
        <v>426</v>
      </c>
      <c r="B10" s="13">
        <v>483297</v>
      </c>
      <c r="C10" s="41" t="s">
        <v>218</v>
      </c>
      <c r="D10" s="50" t="s">
        <v>444</v>
      </c>
      <c r="E10" s="13" t="s">
        <v>428</v>
      </c>
      <c r="F10" s="13" t="s">
        <v>429</v>
      </c>
      <c r="G10" s="13">
        <v>20</v>
      </c>
      <c r="H10" s="13">
        <v>48</v>
      </c>
      <c r="I10" s="49" t="s">
        <v>430</v>
      </c>
      <c r="J10" s="88"/>
      <c r="K10" s="94"/>
      <c r="L10" s="73">
        <f>VLOOKUP(ProductCost[[#This Row],[Mix / Product Name]],'M - All'!$B$100:$D$330,3,FALSE)</f>
        <v>1.014923076923077</v>
      </c>
      <c r="M10" s="19">
        <f>IFERROR(IF(OR(A10="PHF Horse Mixes",A10="Peckish",A10="Hay &amp; Straw",ProductCost[[#This Row],[Bagging Process]]=""),0,$Y$7),0)</f>
        <v>5.5E-2</v>
      </c>
      <c r="N10" s="19">
        <f>IFERROR(VLOOKUP(ProductCost[[#This Row],[Bagging Process]],$W$11:$Y$20,3,FALSE),0)</f>
        <v>0.04</v>
      </c>
      <c r="O10" s="23">
        <f t="shared" si="0"/>
        <v>0</v>
      </c>
      <c r="P10" s="23">
        <f t="shared" si="1"/>
        <v>6.25E-2</v>
      </c>
      <c r="Q10" s="23">
        <f t="shared" si="2"/>
        <v>1.4583333333333333</v>
      </c>
      <c r="R10" s="227">
        <f t="shared" si="3"/>
        <v>23.719294871794872</v>
      </c>
      <c r="T10" s="96">
        <f t="shared" si="4"/>
        <v>30.605541770057901</v>
      </c>
      <c r="U10" s="114" t="str">
        <f t="shared" si="5"/>
        <v>n/a</v>
      </c>
      <c r="V10" s="4"/>
      <c r="W10" s="79" t="s">
        <v>419</v>
      </c>
      <c r="X10" s="100" t="s">
        <v>434</v>
      </c>
      <c r="Y10" s="105" t="s">
        <v>407</v>
      </c>
      <c r="AA10" s="84" t="s">
        <v>445</v>
      </c>
      <c r="AB10" s="93">
        <v>0.18</v>
      </c>
      <c r="AC10" s="113">
        <v>0.31</v>
      </c>
      <c r="AM10" s="1" t="str">
        <v>Finch Mix</v>
      </c>
    </row>
    <row r="11" spans="1:40" ht="13.8" x14ac:dyDescent="0.25">
      <c r="A11" s="226" t="s">
        <v>426</v>
      </c>
      <c r="B11" s="13">
        <v>483298</v>
      </c>
      <c r="C11" s="41" t="s">
        <v>219</v>
      </c>
      <c r="D11" s="50" t="s">
        <v>446</v>
      </c>
      <c r="E11" s="13" t="s">
        <v>428</v>
      </c>
      <c r="F11" s="13" t="s">
        <v>429</v>
      </c>
      <c r="G11" s="13">
        <v>20</v>
      </c>
      <c r="H11" s="13">
        <v>48</v>
      </c>
      <c r="I11" s="49" t="s">
        <v>430</v>
      </c>
      <c r="J11" s="88"/>
      <c r="K11" s="94"/>
      <c r="L11" s="73">
        <f>VLOOKUP(ProductCost[[#This Row],[Mix / Product Name]],'M - All'!$B$100:$D$330,3,FALSE)</f>
        <v>1.254904761904762</v>
      </c>
      <c r="M11" s="19">
        <f>IFERROR(IF(OR(A11="PHF Horse Mixes",A11="Peckish",A11="Hay &amp; Straw",ProductCost[[#This Row],[Bagging Process]]=""),0,$Y$7),0)</f>
        <v>5.5E-2</v>
      </c>
      <c r="N11" s="19">
        <f>IFERROR(VLOOKUP(ProductCost[[#This Row],[Bagging Process]],$W$11:$Y$20,3,FALSE),0)</f>
        <v>0.04</v>
      </c>
      <c r="O11" s="23">
        <f t="shared" si="0"/>
        <v>0</v>
      </c>
      <c r="P11" s="23">
        <f t="shared" si="1"/>
        <v>6.25E-2</v>
      </c>
      <c r="Q11" s="23">
        <f t="shared" si="2"/>
        <v>1.4583333333333333</v>
      </c>
      <c r="R11" s="227">
        <f t="shared" si="3"/>
        <v>28.518928571428571</v>
      </c>
      <c r="T11" s="96">
        <f t="shared" si="4"/>
        <v>36.798617511520739</v>
      </c>
      <c r="U11" s="114" t="str">
        <f t="shared" si="5"/>
        <v>n/a</v>
      </c>
      <c r="V11" s="4"/>
      <c r="W11" s="81" t="s">
        <v>430</v>
      </c>
      <c r="X11" s="41">
        <v>40</v>
      </c>
      <c r="Y11" s="74">
        <f>X11/1000</f>
        <v>0.04</v>
      </c>
      <c r="AA11" s="84" t="s">
        <v>447</v>
      </c>
      <c r="AB11" s="93">
        <v>0.22500000000000001</v>
      </c>
      <c r="AC11" s="113">
        <v>0.31</v>
      </c>
      <c r="AM11" s="1" t="str">
        <v>Gibbs Pigeon Mix</v>
      </c>
    </row>
    <row r="12" spans="1:40" ht="13.8" x14ac:dyDescent="0.25">
      <c r="A12" s="226" t="s">
        <v>426</v>
      </c>
      <c r="B12" s="13">
        <v>483299</v>
      </c>
      <c r="C12" s="41" t="s">
        <v>77</v>
      </c>
      <c r="D12" s="50" t="s">
        <v>448</v>
      </c>
      <c r="E12" s="13" t="s">
        <v>428</v>
      </c>
      <c r="F12" s="13" t="s">
        <v>429</v>
      </c>
      <c r="G12" s="13">
        <v>20</v>
      </c>
      <c r="H12" s="13">
        <v>48</v>
      </c>
      <c r="I12" s="49" t="s">
        <v>430</v>
      </c>
      <c r="J12" s="88"/>
      <c r="K12" s="94"/>
      <c r="L12" s="73">
        <f>VLOOKUP(ProductCost[[#This Row],[Mix / Product Name]],'M - All'!$B$100:$D$330,3,FALSE)</f>
        <v>1.2410769230769232</v>
      </c>
      <c r="M12" s="19">
        <f>IFERROR(IF(OR(A12="PHF Horse Mixes",A12="Peckish",A12="Hay &amp; Straw",ProductCost[[#This Row],[Bagging Process]]=""),0,$Y$7),0)</f>
        <v>5.5E-2</v>
      </c>
      <c r="N12" s="19">
        <f>IFERROR(VLOOKUP(ProductCost[[#This Row],[Bagging Process]],$W$11:$Y$20,3,FALSE),0)</f>
        <v>0.04</v>
      </c>
      <c r="O12" s="23">
        <f t="shared" si="0"/>
        <v>0</v>
      </c>
      <c r="P12" s="23">
        <f t="shared" si="1"/>
        <v>6.25E-2</v>
      </c>
      <c r="Q12" s="23">
        <f t="shared" si="2"/>
        <v>1.4583333333333333</v>
      </c>
      <c r="R12" s="227">
        <f t="shared" si="3"/>
        <v>28.242371794871797</v>
      </c>
      <c r="T12" s="96">
        <f t="shared" si="4"/>
        <v>36.441770057899092</v>
      </c>
      <c r="U12" s="114" t="str">
        <f t="shared" si="5"/>
        <v>n/a</v>
      </c>
      <c r="V12" s="4"/>
      <c r="W12" s="106" t="s">
        <v>437</v>
      </c>
      <c r="X12" s="90">
        <v>80</v>
      </c>
      <c r="Y12" s="108">
        <f>X12/1000</f>
        <v>0.08</v>
      </c>
      <c r="AA12" s="84" t="s">
        <v>449</v>
      </c>
      <c r="AB12" s="93">
        <v>0.18</v>
      </c>
      <c r="AC12" s="113">
        <v>0.23499999999999999</v>
      </c>
      <c r="AM12" s="1" t="str">
        <v>Luv Bird Mix</v>
      </c>
    </row>
    <row r="13" spans="1:40" ht="13.8" x14ac:dyDescent="0.25">
      <c r="A13" s="226" t="s">
        <v>426</v>
      </c>
      <c r="B13" s="13">
        <v>483300</v>
      </c>
      <c r="C13" s="41" t="s">
        <v>220</v>
      </c>
      <c r="D13" s="50" t="s">
        <v>450</v>
      </c>
      <c r="E13" s="13" t="s">
        <v>428</v>
      </c>
      <c r="F13" s="13" t="s">
        <v>429</v>
      </c>
      <c r="G13" s="13">
        <v>20</v>
      </c>
      <c r="H13" s="13">
        <v>48</v>
      </c>
      <c r="I13" s="49" t="s">
        <v>430</v>
      </c>
      <c r="J13" s="88"/>
      <c r="K13" s="94"/>
      <c r="L13" s="73">
        <f>VLOOKUP(ProductCost[[#This Row],[Mix / Product Name]],'M - All'!$B$100:$D$330,3,FALSE)</f>
        <v>1.2669090909090908</v>
      </c>
      <c r="M13" s="19">
        <f>IFERROR(IF(OR(A13="PHF Horse Mixes",A13="Peckish",A13="Hay &amp; Straw",ProductCost[[#This Row],[Bagging Process]]=""),0,$Y$7),0)</f>
        <v>5.5E-2</v>
      </c>
      <c r="N13" s="19">
        <f>IFERROR(VLOOKUP(ProductCost[[#This Row],[Bagging Process]],$W$11:$Y$20,3,FALSE),0)</f>
        <v>0.04</v>
      </c>
      <c r="O13" s="23">
        <f t="shared" si="0"/>
        <v>0</v>
      </c>
      <c r="P13" s="23">
        <f t="shared" si="1"/>
        <v>6.25E-2</v>
      </c>
      <c r="Q13" s="23">
        <f t="shared" si="2"/>
        <v>1.4583333333333333</v>
      </c>
      <c r="R13" s="227">
        <f t="shared" si="3"/>
        <v>28.759015151515147</v>
      </c>
      <c r="T13" s="96">
        <f t="shared" si="4"/>
        <v>37.108406647116318</v>
      </c>
      <c r="U13" s="114" t="str">
        <f t="shared" si="5"/>
        <v>n/a</v>
      </c>
      <c r="V13" s="4"/>
      <c r="W13" s="81" t="s">
        <v>439</v>
      </c>
      <c r="X13" s="41">
        <v>85</v>
      </c>
      <c r="Y13" s="74">
        <f>X13/1000</f>
        <v>8.5000000000000006E-2</v>
      </c>
      <c r="AA13" s="84" t="s">
        <v>451</v>
      </c>
      <c r="AB13" s="93" t="s">
        <v>440</v>
      </c>
      <c r="AC13" s="113">
        <v>0.31</v>
      </c>
      <c r="AM13" s="1" t="str">
        <v>Parrot Mix</v>
      </c>
    </row>
    <row r="14" spans="1:40" ht="13.8" x14ac:dyDescent="0.25">
      <c r="A14" s="226" t="s">
        <v>426</v>
      </c>
      <c r="B14" s="13">
        <v>483301</v>
      </c>
      <c r="C14" s="41" t="s">
        <v>221</v>
      </c>
      <c r="D14" s="50" t="s">
        <v>448</v>
      </c>
      <c r="E14" s="13" t="s">
        <v>435</v>
      </c>
      <c r="F14" s="13"/>
      <c r="G14" s="13">
        <v>1000</v>
      </c>
      <c r="H14" s="13">
        <v>1</v>
      </c>
      <c r="I14" s="49" t="s">
        <v>430</v>
      </c>
      <c r="J14" s="88"/>
      <c r="K14" s="94"/>
      <c r="L14" s="73">
        <f>VLOOKUP(ProductCost[[#This Row],[Mix / Product Name]],'M - All'!$B$100:$D$330,3,FALSE)</f>
        <v>1.2410769230769232</v>
      </c>
      <c r="M14" s="19">
        <f>IFERROR(IF(OR(A14="PHF Horse Mixes",A14="Peckish",A14="Hay &amp; Straw",ProductCost[[#This Row],[Bagging Process]]=""),0,$Y$7),0)</f>
        <v>5.5E-2</v>
      </c>
      <c r="N14" s="19">
        <f>IFERROR(VLOOKUP(ProductCost[[#This Row],[Bagging Process]],$W$11:$Y$20,3,FALSE),0)</f>
        <v>0.04</v>
      </c>
      <c r="O14" s="23">
        <f t="shared" si="0"/>
        <v>0</v>
      </c>
      <c r="P14" s="23">
        <f t="shared" si="1"/>
        <v>1.72E-2</v>
      </c>
      <c r="Q14" s="23">
        <f t="shared" si="2"/>
        <v>7.0000000000000007E-2</v>
      </c>
      <c r="R14" s="227">
        <f t="shared" si="3"/>
        <v>1.4232769230769233</v>
      </c>
      <c r="T14" s="96">
        <f t="shared" si="4"/>
        <v>1.8364863523573203</v>
      </c>
      <c r="U14" s="114" t="str">
        <f t="shared" si="5"/>
        <v>n/a</v>
      </c>
      <c r="V14" s="4"/>
      <c r="W14" s="81" t="s">
        <v>443</v>
      </c>
      <c r="X14" s="41">
        <v>84.32</v>
      </c>
      <c r="Y14" s="74">
        <f>X14/1000</f>
        <v>8.4319999999999992E-2</v>
      </c>
      <c r="AA14" s="84" t="s">
        <v>443</v>
      </c>
      <c r="AB14" s="93" t="s">
        <v>440</v>
      </c>
      <c r="AC14" s="113"/>
      <c r="AM14" s="1" t="str">
        <v>Pigeon Mix</v>
      </c>
    </row>
    <row r="15" spans="1:40" ht="13.8" x14ac:dyDescent="0.25">
      <c r="A15" s="226" t="s">
        <v>426</v>
      </c>
      <c r="B15" s="13">
        <v>484375</v>
      </c>
      <c r="C15" s="41" t="s">
        <v>78</v>
      </c>
      <c r="D15" s="50" t="s">
        <v>427</v>
      </c>
      <c r="E15" s="13" t="s">
        <v>428</v>
      </c>
      <c r="F15" s="13" t="s">
        <v>429</v>
      </c>
      <c r="G15" s="13">
        <v>10</v>
      </c>
      <c r="H15" s="45">
        <v>100</v>
      </c>
      <c r="I15" s="49" t="s">
        <v>430</v>
      </c>
      <c r="J15" s="93"/>
      <c r="K15" s="95"/>
      <c r="L15" s="73">
        <f>VLOOKUP(ProductCost[[#This Row],[Mix / Product Name]],'M - All'!$B$100:$D$330,3,FALSE)</f>
        <v>0.54442968749999998</v>
      </c>
      <c r="M15" s="19">
        <f>IFERROR(IF(OR(A15="PHF Horse Mixes",A15="Peckish",A15="Hay &amp; Straw",ProductCost[[#This Row],[Bagging Process]]=""),0,$Y$7),0)</f>
        <v>5.5E-2</v>
      </c>
      <c r="N15" s="19">
        <f>IFERROR(VLOOKUP(ProductCost[[#This Row],[Bagging Process]],$W$11:$Y$20,3,FALSE),0)</f>
        <v>0.04</v>
      </c>
      <c r="O15" s="23">
        <f t="shared" si="0"/>
        <v>0</v>
      </c>
      <c r="P15" s="23">
        <f t="shared" si="1"/>
        <v>6.25E-2</v>
      </c>
      <c r="Q15" s="23">
        <f t="shared" si="2"/>
        <v>0.7</v>
      </c>
      <c r="R15" s="227">
        <f t="shared" si="3"/>
        <v>7.1567968750000004</v>
      </c>
      <c r="T15" s="96">
        <f t="shared" si="4"/>
        <v>9.2345766129032256</v>
      </c>
      <c r="U15" s="114" t="str">
        <f t="shared" si="5"/>
        <v>n/a</v>
      </c>
      <c r="V15" s="4"/>
      <c r="W15" s="106" t="s">
        <v>21</v>
      </c>
      <c r="X15" s="107"/>
      <c r="Y15" s="133">
        <v>0.6</v>
      </c>
      <c r="AA15" s="84" t="s">
        <v>21</v>
      </c>
      <c r="AB15" s="93">
        <v>0.18</v>
      </c>
      <c r="AC15" s="113">
        <v>0.28499999999999998</v>
      </c>
      <c r="AM15" s="1" t="str">
        <v>Torq Cockatoo</v>
      </c>
    </row>
    <row r="16" spans="1:40" ht="13.8" x14ac:dyDescent="0.25">
      <c r="A16" s="226" t="s">
        <v>426</v>
      </c>
      <c r="B16" s="13">
        <v>484376</v>
      </c>
      <c r="C16" s="41" t="s">
        <v>79</v>
      </c>
      <c r="D16" s="50" t="s">
        <v>448</v>
      </c>
      <c r="E16" s="13" t="s">
        <v>428</v>
      </c>
      <c r="F16" s="13" t="s">
        <v>429</v>
      </c>
      <c r="G16" s="13">
        <v>10</v>
      </c>
      <c r="H16" s="45">
        <v>100</v>
      </c>
      <c r="I16" s="49" t="s">
        <v>430</v>
      </c>
      <c r="J16" s="93"/>
      <c r="K16" s="95"/>
      <c r="L16" s="73">
        <f>VLOOKUP(ProductCost[[#This Row],[Mix / Product Name]],'M - All'!$B$100:$D$330,3,FALSE)</f>
        <v>1.2410769230769232</v>
      </c>
      <c r="M16" s="19">
        <f>IFERROR(IF(OR(A16="PHF Horse Mixes",A16="Peckish",A16="Hay &amp; Straw",ProductCost[[#This Row],[Bagging Process]]=""),0,$Y$7),0)</f>
        <v>5.5E-2</v>
      </c>
      <c r="N16" s="19">
        <f>IFERROR(VLOOKUP(ProductCost[[#This Row],[Bagging Process]],$W$11:$Y$20,3,FALSE),0)</f>
        <v>0.04</v>
      </c>
      <c r="O16" s="23">
        <f t="shared" si="0"/>
        <v>0</v>
      </c>
      <c r="P16" s="23">
        <f t="shared" si="1"/>
        <v>6.25E-2</v>
      </c>
      <c r="Q16" s="23">
        <f t="shared" si="2"/>
        <v>0.7</v>
      </c>
      <c r="R16" s="227">
        <f t="shared" si="3"/>
        <v>14.123269230769232</v>
      </c>
      <c r="T16" s="96">
        <f t="shared" si="4"/>
        <v>18.223573200992558</v>
      </c>
      <c r="U16" s="114" t="str">
        <f t="shared" si="5"/>
        <v>n/a</v>
      </c>
      <c r="V16" s="4"/>
      <c r="W16" s="81"/>
      <c r="X16" s="19"/>
      <c r="Y16" s="74"/>
      <c r="AA16" s="84" t="s">
        <v>50</v>
      </c>
      <c r="AB16" s="93" t="s">
        <v>440</v>
      </c>
      <c r="AC16" s="113">
        <v>0.13500000000000001</v>
      </c>
      <c r="AM16" s="1" t="str">
        <v>Torq Parrot</v>
      </c>
    </row>
    <row r="17" spans="1:39" ht="13.8" x14ac:dyDescent="0.25">
      <c r="A17" s="226" t="s">
        <v>426</v>
      </c>
      <c r="B17" s="13">
        <v>484377</v>
      </c>
      <c r="C17" s="41" t="s">
        <v>222</v>
      </c>
      <c r="D17" s="50" t="s">
        <v>444</v>
      </c>
      <c r="E17" s="13" t="s">
        <v>428</v>
      </c>
      <c r="F17" s="13" t="s">
        <v>429</v>
      </c>
      <c r="G17" s="13">
        <v>10</v>
      </c>
      <c r="H17" s="45">
        <v>100</v>
      </c>
      <c r="I17" s="49" t="s">
        <v>430</v>
      </c>
      <c r="J17" s="93"/>
      <c r="K17" s="95"/>
      <c r="L17" s="73">
        <f>VLOOKUP(ProductCost[[#This Row],[Mix / Product Name]],'M - All'!$B$100:$D$330,3,FALSE)</f>
        <v>1.014923076923077</v>
      </c>
      <c r="M17" s="19">
        <f>IFERROR(IF(OR(A17="PHF Horse Mixes",A17="Peckish",A17="Hay &amp; Straw",ProductCost[[#This Row],[Bagging Process]]=""),0,$Y$7),0)</f>
        <v>5.5E-2</v>
      </c>
      <c r="N17" s="19">
        <f>IFERROR(VLOOKUP(ProductCost[[#This Row],[Bagging Process]],$W$11:$Y$20,3,FALSE),0)</f>
        <v>0.04</v>
      </c>
      <c r="O17" s="23">
        <f t="shared" si="0"/>
        <v>0</v>
      </c>
      <c r="P17" s="23">
        <f t="shared" si="1"/>
        <v>6.25E-2</v>
      </c>
      <c r="Q17" s="23">
        <f t="shared" si="2"/>
        <v>0.7</v>
      </c>
      <c r="R17" s="227">
        <f t="shared" si="3"/>
        <v>11.861730769230769</v>
      </c>
      <c r="T17" s="96">
        <f t="shared" si="4"/>
        <v>15.30545905707196</v>
      </c>
      <c r="U17" s="114" t="str">
        <f t="shared" si="5"/>
        <v>n/a</v>
      </c>
      <c r="V17" s="4"/>
      <c r="W17" s="106"/>
      <c r="X17" s="107"/>
      <c r="Y17" s="108"/>
      <c r="AA17" s="84" t="s">
        <v>100</v>
      </c>
      <c r="AB17" s="93" t="s">
        <v>440</v>
      </c>
      <c r="AC17" s="113">
        <v>0.23499999999999999</v>
      </c>
      <c r="AM17" s="1" t="str">
        <v>Specialty Wild Bird Mix</v>
      </c>
    </row>
    <row r="18" spans="1:39" ht="13.8" x14ac:dyDescent="0.25">
      <c r="A18" s="226" t="s">
        <v>426</v>
      </c>
      <c r="B18" s="13">
        <v>484378</v>
      </c>
      <c r="C18" s="41" t="s">
        <v>223</v>
      </c>
      <c r="D18" s="50" t="s">
        <v>432</v>
      </c>
      <c r="E18" s="13" t="s">
        <v>428</v>
      </c>
      <c r="F18" s="13" t="s">
        <v>429</v>
      </c>
      <c r="G18" s="13">
        <v>10</v>
      </c>
      <c r="H18" s="45">
        <v>100</v>
      </c>
      <c r="I18" s="49" t="s">
        <v>430</v>
      </c>
      <c r="J18" s="93"/>
      <c r="K18" s="95"/>
      <c r="L18" s="73">
        <f>VLOOKUP(ProductCost[[#This Row],[Mix / Product Name]],'M - All'!$B$100:$D$330,3,FALSE)</f>
        <v>0.64053376205787771</v>
      </c>
      <c r="M18" s="19">
        <f>IFERROR(IF(OR(A18="PHF Horse Mixes",A18="Peckish",A18="Hay &amp; Straw",ProductCost[[#This Row],[Bagging Process]]=""),0,$Y$7),0)</f>
        <v>5.5E-2</v>
      </c>
      <c r="N18" s="19">
        <f>IFERROR(VLOOKUP(ProductCost[[#This Row],[Bagging Process]],$W$11:$Y$20,3,FALSE),0)</f>
        <v>0.04</v>
      </c>
      <c r="O18" s="23">
        <f t="shared" si="0"/>
        <v>0</v>
      </c>
      <c r="P18" s="23">
        <f t="shared" si="1"/>
        <v>6.25E-2</v>
      </c>
      <c r="Q18" s="23">
        <f t="shared" si="2"/>
        <v>0.7</v>
      </c>
      <c r="R18" s="227">
        <f t="shared" si="3"/>
        <v>8.1178376205787774</v>
      </c>
      <c r="T18" s="96">
        <f t="shared" si="4"/>
        <v>10.474629187843583</v>
      </c>
      <c r="U18" s="114" t="str">
        <f t="shared" si="5"/>
        <v>n/a</v>
      </c>
      <c r="V18" s="4"/>
      <c r="W18" s="106"/>
      <c r="X18" s="107"/>
      <c r="Y18" s="108"/>
      <c r="AA18" s="84" t="s">
        <v>65</v>
      </c>
      <c r="AB18" s="93">
        <v>0.18</v>
      </c>
      <c r="AC18" s="113">
        <v>0.23499999999999999</v>
      </c>
      <c r="AM18" s="1" t="str">
        <v>Breeder Maize</v>
      </c>
    </row>
    <row r="19" spans="1:39" ht="13.8" x14ac:dyDescent="0.25">
      <c r="A19" s="226" t="s">
        <v>426</v>
      </c>
      <c r="B19" s="13">
        <v>484379</v>
      </c>
      <c r="C19" s="41" t="s">
        <v>224</v>
      </c>
      <c r="D19" s="50" t="s">
        <v>446</v>
      </c>
      <c r="E19" s="13" t="s">
        <v>428</v>
      </c>
      <c r="F19" s="13" t="s">
        <v>429</v>
      </c>
      <c r="G19" s="13">
        <v>10</v>
      </c>
      <c r="H19" s="45">
        <v>100</v>
      </c>
      <c r="I19" s="49" t="s">
        <v>430</v>
      </c>
      <c r="J19" s="93"/>
      <c r="K19" s="95"/>
      <c r="L19" s="73">
        <f>VLOOKUP(ProductCost[[#This Row],[Mix / Product Name]],'M - All'!$B$100:$D$330,3,FALSE)</f>
        <v>1.254904761904762</v>
      </c>
      <c r="M19" s="19">
        <f>IFERROR(IF(OR(A19="PHF Horse Mixes",A19="Peckish",A19="Hay &amp; Straw",ProductCost[[#This Row],[Bagging Process]]=""),0,$Y$7),0)</f>
        <v>5.5E-2</v>
      </c>
      <c r="N19" s="19">
        <f>IFERROR(VLOOKUP(ProductCost[[#This Row],[Bagging Process]],$W$11:$Y$20,3,FALSE),0)</f>
        <v>0.04</v>
      </c>
      <c r="O19" s="23">
        <f t="shared" si="0"/>
        <v>0</v>
      </c>
      <c r="P19" s="23">
        <f t="shared" si="1"/>
        <v>6.25E-2</v>
      </c>
      <c r="Q19" s="23">
        <f t="shared" si="2"/>
        <v>0.7</v>
      </c>
      <c r="R19" s="227">
        <f t="shared" si="3"/>
        <v>14.261547619047619</v>
      </c>
      <c r="T19" s="96">
        <f t="shared" si="4"/>
        <v>18.401996927803378</v>
      </c>
      <c r="U19" s="114" t="str">
        <f t="shared" si="5"/>
        <v>n/a</v>
      </c>
      <c r="V19" s="4"/>
      <c r="W19" s="106"/>
      <c r="X19" s="107"/>
      <c r="Y19" s="108"/>
      <c r="AA19" s="84"/>
      <c r="AB19" s="139"/>
      <c r="AC19" s="140"/>
      <c r="AM19" s="1" t="str">
        <v>Breeder Pre Mix</v>
      </c>
    </row>
    <row r="20" spans="1:39" ht="14.4" thickBot="1" x14ac:dyDescent="0.3">
      <c r="A20" s="226" t="s">
        <v>426</v>
      </c>
      <c r="B20" s="13">
        <v>484380</v>
      </c>
      <c r="C20" s="41" t="s">
        <v>225</v>
      </c>
      <c r="D20" s="50" t="s">
        <v>438</v>
      </c>
      <c r="E20" s="13" t="s">
        <v>428</v>
      </c>
      <c r="F20" s="13" t="s">
        <v>429</v>
      </c>
      <c r="G20" s="13">
        <v>10</v>
      </c>
      <c r="H20" s="45">
        <v>100</v>
      </c>
      <c r="I20" s="49" t="s">
        <v>430</v>
      </c>
      <c r="J20" s="93"/>
      <c r="K20" s="95"/>
      <c r="L20" s="73">
        <f>VLOOKUP(ProductCost[[#This Row],[Mix / Product Name]],'M - All'!$B$100:$D$330,3,FALSE)</f>
        <v>0.66285608856088551</v>
      </c>
      <c r="M20" s="19">
        <f>IFERROR(IF(OR(A20="PHF Horse Mixes",A20="Peckish",A20="Hay &amp; Straw",ProductCost[[#This Row],[Bagging Process]]=""),0,$Y$7),0)</f>
        <v>5.5E-2</v>
      </c>
      <c r="N20" s="19">
        <f>IFERROR(VLOOKUP(ProductCost[[#This Row],[Bagging Process]],$W$11:$Y$20,3,FALSE),0)</f>
        <v>0.04</v>
      </c>
      <c r="O20" s="23">
        <f t="shared" si="0"/>
        <v>0</v>
      </c>
      <c r="P20" s="23">
        <f t="shared" si="1"/>
        <v>6.25E-2</v>
      </c>
      <c r="Q20" s="23">
        <f t="shared" si="2"/>
        <v>0.7</v>
      </c>
      <c r="R20" s="227">
        <f t="shared" si="3"/>
        <v>8.3410608856088562</v>
      </c>
      <c r="T20" s="96">
        <f t="shared" si="4"/>
        <v>10.762659207237233</v>
      </c>
      <c r="U20" s="114" t="str">
        <f t="shared" si="5"/>
        <v>n/a</v>
      </c>
      <c r="V20" s="4"/>
      <c r="W20" s="82"/>
      <c r="X20" s="76"/>
      <c r="Y20" s="109"/>
      <c r="AA20" s="84"/>
      <c r="AB20" s="139"/>
      <c r="AC20" s="140"/>
      <c r="AM20" s="1" t="str">
        <v>Breeders Popcorn</v>
      </c>
    </row>
    <row r="21" spans="1:39" ht="14.4" thickBot="1" x14ac:dyDescent="0.3">
      <c r="A21" s="226" t="s">
        <v>426</v>
      </c>
      <c r="B21" s="13">
        <v>489368</v>
      </c>
      <c r="C21" s="41" t="s">
        <v>226</v>
      </c>
      <c r="D21" s="50" t="s">
        <v>452</v>
      </c>
      <c r="E21" s="13" t="s">
        <v>428</v>
      </c>
      <c r="F21" s="13" t="s">
        <v>429</v>
      </c>
      <c r="G21" s="13">
        <v>20</v>
      </c>
      <c r="H21" s="13">
        <v>48</v>
      </c>
      <c r="I21" s="49" t="s">
        <v>430</v>
      </c>
      <c r="J21" s="88"/>
      <c r="K21" s="94"/>
      <c r="L21" s="73">
        <f>VLOOKUP(ProductCost[[#This Row],[Mix / Product Name]],'M - All'!$B$100:$D$330,3,FALSE)</f>
        <v>1.2493965517241379</v>
      </c>
      <c r="M21" s="19">
        <f>IFERROR(IF(OR(A21="PHF Horse Mixes",A21="Peckish",A21="Hay &amp; Straw",ProductCost[[#This Row],[Bagging Process]]=""),0,$Y$7),0)</f>
        <v>5.5E-2</v>
      </c>
      <c r="N21" s="19">
        <f>IFERROR(VLOOKUP(ProductCost[[#This Row],[Bagging Process]],$W$11:$Y$20,3,FALSE),0)</f>
        <v>0.04</v>
      </c>
      <c r="O21" s="23">
        <f t="shared" si="0"/>
        <v>0</v>
      </c>
      <c r="P21" s="23">
        <f t="shared" si="1"/>
        <v>6.25E-2</v>
      </c>
      <c r="Q21" s="23">
        <f t="shared" si="2"/>
        <v>1.4583333333333333</v>
      </c>
      <c r="R21" s="227">
        <f t="shared" si="3"/>
        <v>28.40876436781609</v>
      </c>
      <c r="T21" s="96">
        <f t="shared" si="4"/>
        <v>36.656470152020759</v>
      </c>
      <c r="U21" s="114" t="str">
        <f t="shared" si="5"/>
        <v>n/a</v>
      </c>
      <c r="V21" s="4"/>
      <c r="AA21" s="85"/>
      <c r="AB21" s="141"/>
      <c r="AC21" s="142"/>
      <c r="AM21" s="1" t="str">
        <v>Budget</v>
      </c>
    </row>
    <row r="22" spans="1:39" ht="14.4" thickBot="1" x14ac:dyDescent="0.3">
      <c r="A22" s="226" t="s">
        <v>426</v>
      </c>
      <c r="B22" s="13">
        <v>492032</v>
      </c>
      <c r="C22" s="41" t="s">
        <v>227</v>
      </c>
      <c r="D22" s="50" t="s">
        <v>453</v>
      </c>
      <c r="E22" s="13" t="s">
        <v>428</v>
      </c>
      <c r="F22" s="13"/>
      <c r="G22" s="13">
        <v>20</v>
      </c>
      <c r="H22" s="13">
        <v>48</v>
      </c>
      <c r="I22" s="49" t="s">
        <v>430</v>
      </c>
      <c r="J22" s="88"/>
      <c r="K22" s="94"/>
      <c r="L22" s="73">
        <f>VLOOKUP(ProductCost[[#This Row],[Mix / Product Name]],'M - All'!$B$100:$D$330,3,FALSE)</f>
        <v>0.69462499999999983</v>
      </c>
      <c r="M22" s="19">
        <f>IFERROR(IF(OR(A22="PHF Horse Mixes",A22="Peckish",A22="Hay &amp; Straw",ProductCost[[#This Row],[Bagging Process]]=""),0,$Y$7),0)</f>
        <v>5.5E-2</v>
      </c>
      <c r="N22" s="19">
        <f>IFERROR(VLOOKUP(ProductCost[[#This Row],[Bagging Process]],$W$11:$Y$20,3,FALSE),0)</f>
        <v>0.04</v>
      </c>
      <c r="O22" s="23">
        <f t="shared" si="0"/>
        <v>0</v>
      </c>
      <c r="P22" s="23">
        <f t="shared" si="1"/>
        <v>0.6925</v>
      </c>
      <c r="Q22" s="23">
        <f t="shared" si="2"/>
        <v>1.4583333333333333</v>
      </c>
      <c r="R22" s="227">
        <f t="shared" si="3"/>
        <v>17.943333333333332</v>
      </c>
      <c r="T22" s="96">
        <f t="shared" si="4"/>
        <v>23.152688172043007</v>
      </c>
      <c r="U22" s="114" t="str">
        <f t="shared" si="5"/>
        <v>n/a</v>
      </c>
      <c r="V22" s="4"/>
      <c r="AM22" s="1" t="str">
        <v>Custom - Birdseed Mix</v>
      </c>
    </row>
    <row r="23" spans="1:39" ht="13.8" x14ac:dyDescent="0.25">
      <c r="A23" s="226" t="s">
        <v>426</v>
      </c>
      <c r="B23" s="13">
        <v>500619</v>
      </c>
      <c r="C23" s="41" t="s">
        <v>235</v>
      </c>
      <c r="D23" s="50" t="s">
        <v>444</v>
      </c>
      <c r="E23" s="13" t="s">
        <v>435</v>
      </c>
      <c r="F23" s="13"/>
      <c r="G23" s="13">
        <v>1000</v>
      </c>
      <c r="H23" s="13">
        <v>1</v>
      </c>
      <c r="I23" s="49" t="s">
        <v>430</v>
      </c>
      <c r="J23" s="88"/>
      <c r="K23" s="94"/>
      <c r="L23" s="73">
        <f>VLOOKUP(ProductCost[[#This Row],[Mix / Product Name]],'M - All'!$B$100:$D$330,3,FALSE)</f>
        <v>1.014923076923077</v>
      </c>
      <c r="M23" s="19">
        <f>IFERROR(IF(OR(A23="PHF Horse Mixes",A23="Peckish",A23="Hay &amp; Straw",ProductCost[[#This Row],[Bagging Process]]=""),0,$Y$7),0)</f>
        <v>5.5E-2</v>
      </c>
      <c r="N23" s="19">
        <f>IFERROR(VLOOKUP(ProductCost[[#This Row],[Bagging Process]],$W$11:$Y$20,3,FALSE),0)</f>
        <v>0.04</v>
      </c>
      <c r="O23" s="23">
        <f t="shared" si="0"/>
        <v>0</v>
      </c>
      <c r="P23" s="23">
        <f t="shared" si="1"/>
        <v>1.72E-2</v>
      </c>
      <c r="Q23" s="23">
        <f t="shared" si="2"/>
        <v>7.0000000000000007E-2</v>
      </c>
      <c r="R23" s="227">
        <f t="shared" si="3"/>
        <v>1.1971230769230772</v>
      </c>
      <c r="T23" s="96">
        <f t="shared" si="4"/>
        <v>1.5446749379652609</v>
      </c>
      <c r="U23" s="114" t="str">
        <f t="shared" si="5"/>
        <v>n/a</v>
      </c>
      <c r="V23" s="4"/>
      <c r="W23" s="298" t="s">
        <v>454</v>
      </c>
      <c r="X23" s="299"/>
      <c r="Y23" s="300"/>
      <c r="AA23" s="298" t="s">
        <v>421</v>
      </c>
      <c r="AB23" s="300"/>
      <c r="AM23" s="1" t="str">
        <v>Depurative</v>
      </c>
    </row>
    <row r="24" spans="1:39" ht="13.8" x14ac:dyDescent="0.25">
      <c r="A24" s="226" t="s">
        <v>426</v>
      </c>
      <c r="B24" s="13">
        <v>503902</v>
      </c>
      <c r="C24" s="41" t="s">
        <v>256</v>
      </c>
      <c r="D24" s="50" t="s">
        <v>450</v>
      </c>
      <c r="E24" s="13" t="s">
        <v>435</v>
      </c>
      <c r="F24" s="13"/>
      <c r="G24" s="13">
        <v>1000</v>
      </c>
      <c r="H24" s="13">
        <v>1</v>
      </c>
      <c r="I24" s="49" t="s">
        <v>430</v>
      </c>
      <c r="J24" s="88"/>
      <c r="K24" s="94"/>
      <c r="L24" s="73">
        <f>VLOOKUP(ProductCost[[#This Row],[Mix / Product Name]],'M - All'!$B$100:$D$330,3,FALSE)</f>
        <v>1.2669090909090908</v>
      </c>
      <c r="M24" s="19">
        <f>IFERROR(IF(OR(A24="PHF Horse Mixes",A24="Peckish",A24="Hay &amp; Straw",ProductCost[[#This Row],[Bagging Process]]=""),0,$Y$7),0)</f>
        <v>5.5E-2</v>
      </c>
      <c r="N24" s="19">
        <f>IFERROR(VLOOKUP(ProductCost[[#This Row],[Bagging Process]],$W$11:$Y$20,3,FALSE),0)</f>
        <v>0.04</v>
      </c>
      <c r="O24" s="23">
        <f t="shared" si="0"/>
        <v>0</v>
      </c>
      <c r="P24" s="23">
        <f t="shared" si="1"/>
        <v>1.72E-2</v>
      </c>
      <c r="Q24" s="23">
        <f t="shared" si="2"/>
        <v>7.0000000000000007E-2</v>
      </c>
      <c r="R24" s="227">
        <f t="shared" si="3"/>
        <v>1.4491090909090909</v>
      </c>
      <c r="T24" s="96">
        <f t="shared" si="4"/>
        <v>1.8698181818181818</v>
      </c>
      <c r="U24" s="114" t="str">
        <f t="shared" si="5"/>
        <v>n/a</v>
      </c>
      <c r="V24" s="4"/>
      <c r="W24" s="81" t="s">
        <v>455</v>
      </c>
      <c r="X24" s="53">
        <f>(AB24+AB25+AB26*48)/48</f>
        <v>0.6925</v>
      </c>
      <c r="Y24" s="75" t="s">
        <v>456</v>
      </c>
      <c r="AA24" s="81" t="s">
        <v>457</v>
      </c>
      <c r="AB24" s="101">
        <v>1</v>
      </c>
      <c r="AM24" s="1" t="str">
        <v xml:space="preserve">Fancy </v>
      </c>
    </row>
    <row r="25" spans="1:39" ht="13.8" x14ac:dyDescent="0.25">
      <c r="A25" s="226" t="s">
        <v>426</v>
      </c>
      <c r="B25" s="13">
        <v>508411</v>
      </c>
      <c r="C25" s="50" t="s">
        <v>258</v>
      </c>
      <c r="D25" s="50" t="s">
        <v>458</v>
      </c>
      <c r="E25" s="13" t="s">
        <v>428</v>
      </c>
      <c r="F25" s="13"/>
      <c r="G25" s="13">
        <v>20</v>
      </c>
      <c r="H25" s="13">
        <v>48</v>
      </c>
      <c r="I25" s="49" t="s">
        <v>430</v>
      </c>
      <c r="J25" s="88"/>
      <c r="K25" s="94"/>
      <c r="L25" s="73">
        <f>VLOOKUP(ProductCost[[#This Row],[Mix / Product Name]],'M - All'!$B$100:$D$330,3,FALSE)</f>
        <v>1.0395168030753967</v>
      </c>
      <c r="M25" s="19">
        <f>IFERROR(IF(OR(A25="PHF Horse Mixes",A25="Peckish",A25="Hay &amp; Straw",ProductCost[[#This Row],[Bagging Process]]=""),0,$Y$7),0)</f>
        <v>5.5E-2</v>
      </c>
      <c r="N25" s="19">
        <f>IFERROR(VLOOKUP(ProductCost[[#This Row],[Bagging Process]],$W$11:$Y$20,3,FALSE),0)</f>
        <v>0.04</v>
      </c>
      <c r="O25" s="23">
        <f t="shared" si="0"/>
        <v>0</v>
      </c>
      <c r="P25" s="23">
        <f t="shared" si="1"/>
        <v>0.6925</v>
      </c>
      <c r="Q25" s="23">
        <f t="shared" si="2"/>
        <v>1.4583333333333333</v>
      </c>
      <c r="R25" s="227">
        <f t="shared" si="3"/>
        <v>24.84116939484127</v>
      </c>
      <c r="T25" s="96">
        <f t="shared" si="4"/>
        <v>32.053121799795186</v>
      </c>
      <c r="U25" s="114" t="str">
        <f t="shared" si="5"/>
        <v>n/a</v>
      </c>
      <c r="V25" s="4"/>
      <c r="W25" s="81" t="s">
        <v>459</v>
      </c>
      <c r="X25" s="53">
        <f>AB27+AB24</f>
        <v>17.2</v>
      </c>
      <c r="Y25" s="75" t="s">
        <v>456</v>
      </c>
      <c r="AA25" s="81" t="s">
        <v>460</v>
      </c>
      <c r="AB25" s="101">
        <v>2</v>
      </c>
      <c r="AM25" s="1" t="str">
        <v>Fancy Mung</v>
      </c>
    </row>
    <row r="26" spans="1:39" ht="13.8" x14ac:dyDescent="0.25">
      <c r="A26" s="226" t="s">
        <v>426</v>
      </c>
      <c r="B26" s="13">
        <v>540713</v>
      </c>
      <c r="C26" s="41" t="s">
        <v>97</v>
      </c>
      <c r="D26" s="50" t="s">
        <v>427</v>
      </c>
      <c r="E26" s="13" t="s">
        <v>435</v>
      </c>
      <c r="F26" s="13"/>
      <c r="G26" s="13">
        <v>1000</v>
      </c>
      <c r="H26" s="13">
        <v>1</v>
      </c>
      <c r="I26" s="49" t="s">
        <v>430</v>
      </c>
      <c r="J26" s="88"/>
      <c r="K26" s="94">
        <v>0.26</v>
      </c>
      <c r="L26" s="73">
        <f>VLOOKUP(ProductCost[[#This Row],[Mix / Product Name]],'M - All'!$B$100:$D$330,3,FALSE)</f>
        <v>0.54442968749999998</v>
      </c>
      <c r="M26" s="19">
        <f>IFERROR(IF(OR(A26="PHF Horse Mixes",A26="Peckish",A26="Hay &amp; Straw",ProductCost[[#This Row],[Bagging Process]]=""),0,$Y$7),0)</f>
        <v>5.5E-2</v>
      </c>
      <c r="N26" s="19">
        <f>IFERROR(VLOOKUP(ProductCost[[#This Row],[Bagging Process]],$W$11:$Y$20,3,FALSE),0)</f>
        <v>0.04</v>
      </c>
      <c r="O26" s="23">
        <f t="shared" si="0"/>
        <v>0</v>
      </c>
      <c r="P26" s="23">
        <f t="shared" si="1"/>
        <v>1.72E-2</v>
      </c>
      <c r="Q26" s="23">
        <f t="shared" si="2"/>
        <v>7.0000000000000007E-2</v>
      </c>
      <c r="R26" s="227">
        <f t="shared" si="3"/>
        <v>0.72662968750000001</v>
      </c>
      <c r="T26" s="96">
        <f t="shared" si="4"/>
        <v>0.93758669354838708</v>
      </c>
      <c r="U26" s="114">
        <f t="shared" si="5"/>
        <v>1</v>
      </c>
      <c r="V26" s="4"/>
      <c r="W26" s="83" t="s">
        <v>461</v>
      </c>
      <c r="X26" s="53">
        <f>AB26</f>
        <v>0.63</v>
      </c>
      <c r="Y26" s="75" t="s">
        <v>456</v>
      </c>
      <c r="AA26" s="81" t="s">
        <v>462</v>
      </c>
      <c r="AB26" s="101">
        <v>0.63</v>
      </c>
      <c r="AM26" s="1" t="str">
        <v>Fancy Super Mung</v>
      </c>
    </row>
    <row r="27" spans="1:39" ht="14.4" thickBot="1" x14ac:dyDescent="0.3">
      <c r="A27" s="226" t="s">
        <v>426</v>
      </c>
      <c r="B27" s="13">
        <v>540937</v>
      </c>
      <c r="C27" s="41" t="s">
        <v>282</v>
      </c>
      <c r="D27" s="50" t="s">
        <v>446</v>
      </c>
      <c r="E27" s="13" t="s">
        <v>435</v>
      </c>
      <c r="F27" s="13"/>
      <c r="G27" s="13">
        <v>1000</v>
      </c>
      <c r="H27" s="13">
        <v>1</v>
      </c>
      <c r="I27" s="49" t="s">
        <v>430</v>
      </c>
      <c r="J27" s="88"/>
      <c r="K27" s="94"/>
      <c r="L27" s="73">
        <f>VLOOKUP(ProductCost[[#This Row],[Mix / Product Name]],'M - All'!$B$100:$D$330,3,FALSE)</f>
        <v>1.254904761904762</v>
      </c>
      <c r="M27" s="19">
        <f>IFERROR(IF(OR(A27="PHF Horse Mixes",A27="Peckish",A27="Hay &amp; Straw",ProductCost[[#This Row],[Bagging Process]]=""),0,$Y$7),0)</f>
        <v>5.5E-2</v>
      </c>
      <c r="N27" s="19">
        <f>IFERROR(VLOOKUP(ProductCost[[#This Row],[Bagging Process]],$W$11:$Y$20,3,FALSE),0)</f>
        <v>0.04</v>
      </c>
      <c r="O27" s="23">
        <f t="shared" si="0"/>
        <v>0</v>
      </c>
      <c r="P27" s="23">
        <f t="shared" si="1"/>
        <v>1.72E-2</v>
      </c>
      <c r="Q27" s="23">
        <f t="shared" si="2"/>
        <v>7.0000000000000007E-2</v>
      </c>
      <c r="R27" s="227">
        <f t="shared" si="3"/>
        <v>1.4371047619047621</v>
      </c>
      <c r="T27" s="96">
        <f t="shared" si="4"/>
        <v>1.8543287250384026</v>
      </c>
      <c r="U27" s="114" t="str">
        <f t="shared" si="5"/>
        <v>n/a</v>
      </c>
      <c r="V27" s="4"/>
      <c r="W27" s="83" t="s">
        <v>463</v>
      </c>
      <c r="X27" s="63">
        <f>AB27/1000*1.5+AB30+AB31</f>
        <v>0.82429999999999992</v>
      </c>
      <c r="Y27" s="75" t="s">
        <v>456</v>
      </c>
      <c r="AA27" s="82" t="s">
        <v>459</v>
      </c>
      <c r="AB27" s="102">
        <v>16.2</v>
      </c>
      <c r="AM27" s="1" t="str">
        <v>Hi Carb</v>
      </c>
    </row>
    <row r="28" spans="1:39" ht="14.4" thickBot="1" x14ac:dyDescent="0.3">
      <c r="A28" s="226" t="s">
        <v>426</v>
      </c>
      <c r="B28" s="13">
        <v>517311</v>
      </c>
      <c r="C28" s="41" t="s">
        <v>265</v>
      </c>
      <c r="D28" s="50" t="s">
        <v>464</v>
      </c>
      <c r="E28" s="13" t="s">
        <v>428</v>
      </c>
      <c r="F28" s="13"/>
      <c r="G28" s="13">
        <v>20</v>
      </c>
      <c r="H28" s="13">
        <v>48</v>
      </c>
      <c r="I28" s="49" t="s">
        <v>430</v>
      </c>
      <c r="J28" s="88"/>
      <c r="K28" s="94"/>
      <c r="L28" s="73">
        <f>VLOOKUP(ProductCost[[#This Row],[Mix / Product Name]],'M - All'!$B$100:$D$330,3,FALSE)</f>
        <v>1.3954077669902913</v>
      </c>
      <c r="M28" s="19">
        <f>IFERROR(IF(OR(A28="PHF Horse Mixes",A28="Peckish",A28="Hay &amp; Straw",ProductCost[[#This Row],[Bagging Process]]=""),0,$Y$7),0)</f>
        <v>5.5E-2</v>
      </c>
      <c r="N28" s="19">
        <f>IFERROR(VLOOKUP(ProductCost[[#This Row],[Bagging Process]],$W$11:$Y$20,3,FALSE),0)</f>
        <v>0.04</v>
      </c>
      <c r="O28" s="23">
        <f t="shared" si="0"/>
        <v>0</v>
      </c>
      <c r="P28" s="23">
        <f t="shared" si="1"/>
        <v>0.6925</v>
      </c>
      <c r="Q28" s="23">
        <f t="shared" si="2"/>
        <v>1.4583333333333333</v>
      </c>
      <c r="R28" s="227">
        <f t="shared" si="3"/>
        <v>31.95898867313916</v>
      </c>
      <c r="T28" s="96">
        <f t="shared" si="4"/>
        <v>41.237404739534398</v>
      </c>
      <c r="U28" s="114" t="str">
        <f t="shared" si="5"/>
        <v>n/a</v>
      </c>
      <c r="V28" s="4"/>
      <c r="W28" s="83" t="s">
        <v>465</v>
      </c>
      <c r="X28" s="50">
        <v>0.65</v>
      </c>
      <c r="Y28" s="75" t="s">
        <v>456</v>
      </c>
      <c r="AM28" s="1" t="str">
        <v>Moulting</v>
      </c>
    </row>
    <row r="29" spans="1:39" ht="13.8" x14ac:dyDescent="0.25">
      <c r="A29" s="226" t="s">
        <v>426</v>
      </c>
      <c r="B29" s="13">
        <v>517312</v>
      </c>
      <c r="C29" s="41" t="s">
        <v>266</v>
      </c>
      <c r="D29" s="50" t="s">
        <v>466</v>
      </c>
      <c r="E29" s="13" t="s">
        <v>428</v>
      </c>
      <c r="F29" s="13"/>
      <c r="G29" s="13">
        <v>20</v>
      </c>
      <c r="H29" s="13">
        <v>48</v>
      </c>
      <c r="I29" s="49" t="s">
        <v>430</v>
      </c>
      <c r="J29" s="88"/>
      <c r="K29" s="94"/>
      <c r="L29" s="73">
        <f>VLOOKUP(ProductCost[[#This Row],[Mix / Product Name]],'M - All'!$B$100:$D$330,3,FALSE)</f>
        <v>0.83809090909090911</v>
      </c>
      <c r="M29" s="19">
        <f>IFERROR(IF(OR(A29="PHF Horse Mixes",A29="Peckish",A29="Hay &amp; Straw",ProductCost[[#This Row],[Bagging Process]]=""),0,$Y$7),0)</f>
        <v>5.5E-2</v>
      </c>
      <c r="N29" s="19">
        <f>IFERROR(VLOOKUP(ProductCost[[#This Row],[Bagging Process]],$W$11:$Y$20,3,FALSE),0)</f>
        <v>0.04</v>
      </c>
      <c r="O29" s="23">
        <f t="shared" si="0"/>
        <v>0</v>
      </c>
      <c r="P29" s="23">
        <f t="shared" si="1"/>
        <v>0.6925</v>
      </c>
      <c r="Q29" s="23">
        <f t="shared" si="2"/>
        <v>1.4583333333333333</v>
      </c>
      <c r="R29" s="227">
        <f t="shared" si="3"/>
        <v>20.812651515151519</v>
      </c>
      <c r="T29" s="96">
        <f t="shared" si="4"/>
        <v>26.855034213098733</v>
      </c>
      <c r="U29" s="114" t="str">
        <f t="shared" si="5"/>
        <v>n/a</v>
      </c>
      <c r="V29" s="4"/>
      <c r="W29" s="83"/>
      <c r="X29" s="53"/>
      <c r="Y29" s="75"/>
      <c r="AA29" s="298" t="s">
        <v>467</v>
      </c>
      <c r="AB29" s="300"/>
      <c r="AM29" s="1" t="str">
        <v>NPM</v>
      </c>
    </row>
    <row r="30" spans="1:39" ht="14.4" thickBot="1" x14ac:dyDescent="0.3">
      <c r="A30" s="226" t="s">
        <v>426</v>
      </c>
      <c r="B30" s="13">
        <v>545413</v>
      </c>
      <c r="C30" s="41" t="s">
        <v>302</v>
      </c>
      <c r="D30" s="50" t="s">
        <v>303</v>
      </c>
      <c r="E30" s="13" t="s">
        <v>428</v>
      </c>
      <c r="F30" s="13"/>
      <c r="G30" s="13">
        <v>20</v>
      </c>
      <c r="H30" s="13">
        <v>48</v>
      </c>
      <c r="I30" s="49" t="s">
        <v>430</v>
      </c>
      <c r="J30" s="88"/>
      <c r="K30" s="94"/>
      <c r="L30" s="73">
        <f>VLOOKUP(ProductCost[[#This Row],[Mix / Product Name]],'M - All'!$B$100:$D$330,3,FALSE)</f>
        <v>0.57913049999999999</v>
      </c>
      <c r="M30" s="19">
        <f>IFERROR(IF(OR(A30="PHF Horse Mixes",A30="Peckish",A30="Hay &amp; Straw",ProductCost[[#This Row],[Bagging Process]]=""),0,$Y$7),0)</f>
        <v>5.5E-2</v>
      </c>
      <c r="N30" s="19">
        <f>IFERROR(VLOOKUP(ProductCost[[#This Row],[Bagging Process]],$W$11:$Y$20,3,FALSE),0)</f>
        <v>0.04</v>
      </c>
      <c r="O30" s="23">
        <f t="shared" si="0"/>
        <v>0</v>
      </c>
      <c r="P30" s="23">
        <f t="shared" si="1"/>
        <v>0.6925</v>
      </c>
      <c r="Q30" s="23">
        <f t="shared" si="2"/>
        <v>1.4583333333333333</v>
      </c>
      <c r="R30" s="227">
        <f t="shared" si="3"/>
        <v>15.633443333333334</v>
      </c>
      <c r="T30" s="96">
        <f t="shared" si="4"/>
        <v>20.172184946236559</v>
      </c>
      <c r="U30" s="114" t="str">
        <f t="shared" si="5"/>
        <v>n/a</v>
      </c>
      <c r="V30" s="4"/>
      <c r="W30" s="98"/>
      <c r="X30" s="99"/>
      <c r="Y30" s="78"/>
      <c r="AA30" s="81" t="s">
        <v>468</v>
      </c>
      <c r="AB30" s="101">
        <v>0.69</v>
      </c>
      <c r="AM30" s="1" t="str">
        <v>NPM Popcorn</v>
      </c>
    </row>
    <row r="31" spans="1:39" ht="14.4" thickBot="1" x14ac:dyDescent="0.3">
      <c r="A31" s="226" t="s">
        <v>42</v>
      </c>
      <c r="B31" s="13">
        <v>380867</v>
      </c>
      <c r="C31" s="50" t="s">
        <v>142</v>
      </c>
      <c r="D31" s="50" t="s">
        <v>143</v>
      </c>
      <c r="E31" s="13" t="s">
        <v>428</v>
      </c>
      <c r="F31" s="13"/>
      <c r="G31" s="13">
        <v>20</v>
      </c>
      <c r="H31" s="13">
        <v>48</v>
      </c>
      <c r="I31" s="49" t="s">
        <v>437</v>
      </c>
      <c r="J31" s="88"/>
      <c r="K31" s="94"/>
      <c r="L31" s="73">
        <f>VLOOKUP(ProductCost[[#This Row],[Mix / Product Name]],'M - All'!$B$100:$D$330,3,FALSE)</f>
        <v>0.7004604305722727</v>
      </c>
      <c r="M31" s="19">
        <f>IFERROR(IF(OR(A31="PHF Horse Mixes",A31="Peckish",A31="Hay &amp; Straw",ProductCost[[#This Row],[Bagging Process]]=""),0,$Y$7),0)</f>
        <v>5.5E-2</v>
      </c>
      <c r="N31" s="19">
        <f>IFERROR(VLOOKUP(ProductCost[[#This Row],[Bagging Process]],$W$11:$Y$20,3,FALSE),0)</f>
        <v>0.08</v>
      </c>
      <c r="O31" s="23">
        <f t="shared" si="0"/>
        <v>0</v>
      </c>
      <c r="P31" s="23">
        <f t="shared" si="1"/>
        <v>0.6925</v>
      </c>
      <c r="Q31" s="23">
        <f t="shared" si="2"/>
        <v>1.4583333333333333</v>
      </c>
      <c r="R31" s="227">
        <f t="shared" si="3"/>
        <v>18.860041944778789</v>
      </c>
      <c r="T31" s="96">
        <f t="shared" si="4"/>
        <v>24.335537993262953</v>
      </c>
      <c r="U31" s="114">
        <f t="shared" si="5"/>
        <v>27.400000000000002</v>
      </c>
      <c r="V31" s="4"/>
      <c r="X31" s="24"/>
      <c r="Y31" s="24"/>
      <c r="AA31" s="82" t="s">
        <v>469</v>
      </c>
      <c r="AB31" s="103">
        <v>0.11</v>
      </c>
      <c r="AM31" s="1" t="str">
        <v>Race</v>
      </c>
    </row>
    <row r="32" spans="1:39" ht="13.8" x14ac:dyDescent="0.25">
      <c r="A32" s="226" t="s">
        <v>42</v>
      </c>
      <c r="B32" s="13">
        <v>383803</v>
      </c>
      <c r="C32" s="50" t="s">
        <v>171</v>
      </c>
      <c r="D32" s="50" t="s">
        <v>470</v>
      </c>
      <c r="E32" s="13" t="s">
        <v>428</v>
      </c>
      <c r="F32" s="13"/>
      <c r="G32" s="13">
        <v>20</v>
      </c>
      <c r="H32" s="13">
        <v>48</v>
      </c>
      <c r="I32" s="49" t="s">
        <v>437</v>
      </c>
      <c r="J32" s="88"/>
      <c r="K32" s="94"/>
      <c r="L32" s="73">
        <f>VLOOKUP(ProductCost[[#This Row],[Mix / Product Name]],'M - All'!$B$100:$D$330,3,FALSE)</f>
        <v>0.75094119980304175</v>
      </c>
      <c r="M32" s="19">
        <f>IFERROR(IF(OR(A32="PHF Horse Mixes",A32="Peckish",A32="Hay &amp; Straw",ProductCost[[#This Row],[Bagging Process]]=""),0,$Y$7),0)</f>
        <v>5.5E-2</v>
      </c>
      <c r="N32" s="19">
        <f>IFERROR(VLOOKUP(ProductCost[[#This Row],[Bagging Process]],$W$11:$Y$20,3,FALSE),0)</f>
        <v>0.08</v>
      </c>
      <c r="O32" s="23">
        <f t="shared" si="0"/>
        <v>0</v>
      </c>
      <c r="P32" s="23">
        <f t="shared" si="1"/>
        <v>0.6925</v>
      </c>
      <c r="Q32" s="23">
        <f t="shared" si="2"/>
        <v>1.4583333333333333</v>
      </c>
      <c r="R32" s="227">
        <f t="shared" si="3"/>
        <v>19.869657329394169</v>
      </c>
      <c r="T32" s="96">
        <f t="shared" si="4"/>
        <v>25.638267521798927</v>
      </c>
      <c r="U32" s="114">
        <f t="shared" si="5"/>
        <v>28.8</v>
      </c>
      <c r="V32" s="4"/>
      <c r="X32" s="24"/>
      <c r="Y32" s="24"/>
      <c r="AM32" s="1" t="str">
        <v xml:space="preserve">Race Popcorn </v>
      </c>
    </row>
    <row r="33" spans="1:39" ht="14.4" thickBot="1" x14ac:dyDescent="0.3">
      <c r="A33" s="226" t="s">
        <v>42</v>
      </c>
      <c r="B33" s="13">
        <v>383804</v>
      </c>
      <c r="C33" s="41" t="s">
        <v>173</v>
      </c>
      <c r="D33" s="50" t="s">
        <v>174</v>
      </c>
      <c r="E33" s="13" t="s">
        <v>428</v>
      </c>
      <c r="F33" s="13"/>
      <c r="G33" s="13">
        <v>20</v>
      </c>
      <c r="H33" s="13">
        <v>48</v>
      </c>
      <c r="I33" s="49" t="s">
        <v>437</v>
      </c>
      <c r="J33" s="88"/>
      <c r="K33" s="94"/>
      <c r="L33" s="73">
        <f>VLOOKUP(ProductCost[[#This Row],[Mix / Product Name]],'M - All'!$B$100:$D$330,3,FALSE)</f>
        <v>0.58055038461538455</v>
      </c>
      <c r="M33" s="19">
        <f>IFERROR(IF(OR(A33="PHF Horse Mixes",A33="Peckish",A33="Hay &amp; Straw",ProductCost[[#This Row],[Bagging Process]]=""),0,$Y$7),0)</f>
        <v>5.5E-2</v>
      </c>
      <c r="N33" s="19">
        <f>IFERROR(VLOOKUP(ProductCost[[#This Row],[Bagging Process]],$W$11:$Y$20,3,FALSE),0)</f>
        <v>0.08</v>
      </c>
      <c r="O33" s="23">
        <f t="shared" si="0"/>
        <v>0</v>
      </c>
      <c r="P33" s="23">
        <f t="shared" si="1"/>
        <v>0.6925</v>
      </c>
      <c r="Q33" s="23">
        <f t="shared" si="2"/>
        <v>1.4583333333333333</v>
      </c>
      <c r="R33" s="227">
        <f t="shared" si="3"/>
        <v>16.461841025641025</v>
      </c>
      <c r="T33" s="96">
        <f t="shared" si="4"/>
        <v>21.241085194375515</v>
      </c>
      <c r="U33" s="114">
        <f t="shared" si="5"/>
        <v>23.900000000000002</v>
      </c>
      <c r="V33" s="4"/>
      <c r="AM33" s="1" t="str">
        <v>Rods Pigeon Maize</v>
      </c>
    </row>
    <row r="34" spans="1:39" ht="14.4" x14ac:dyDescent="0.3">
      <c r="A34" s="226" t="s">
        <v>42</v>
      </c>
      <c r="B34" s="13">
        <v>383805</v>
      </c>
      <c r="C34" s="41" t="s">
        <v>176</v>
      </c>
      <c r="D34" s="50" t="s">
        <v>177</v>
      </c>
      <c r="E34" s="13" t="s">
        <v>428</v>
      </c>
      <c r="F34" s="13"/>
      <c r="G34" s="13">
        <v>20</v>
      </c>
      <c r="H34" s="13">
        <v>48</v>
      </c>
      <c r="I34" s="49" t="s">
        <v>437</v>
      </c>
      <c r="J34" s="88"/>
      <c r="K34" s="94"/>
      <c r="L34" s="73">
        <f>VLOOKUP(ProductCost[[#This Row],[Mix / Product Name]],'M - All'!$B$100:$D$330,3,FALSE)</f>
        <v>0.52972692307692304</v>
      </c>
      <c r="M34" s="19">
        <f>IFERROR(IF(OR(A34="PHF Horse Mixes",A34="Peckish",A34="Hay &amp; Straw",ProductCost[[#This Row],[Bagging Process]]=""),0,$Y$7),0)</f>
        <v>5.5E-2</v>
      </c>
      <c r="N34" s="19">
        <f>IFERROR(VLOOKUP(ProductCost[[#This Row],[Bagging Process]],$W$11:$Y$20,3,FALSE),0)</f>
        <v>0.08</v>
      </c>
      <c r="O34" s="23">
        <f t="shared" si="0"/>
        <v>0</v>
      </c>
      <c r="P34" s="23">
        <f t="shared" si="1"/>
        <v>0.6925</v>
      </c>
      <c r="Q34" s="23">
        <f t="shared" si="2"/>
        <v>1.4583333333333333</v>
      </c>
      <c r="R34" s="227">
        <f t="shared" si="3"/>
        <v>15.445371794871795</v>
      </c>
      <c r="T34" s="96">
        <f t="shared" si="4"/>
        <v>19.92951199338296</v>
      </c>
      <c r="U34" s="114">
        <f t="shared" si="5"/>
        <v>22.400000000000002</v>
      </c>
      <c r="V34" s="4"/>
      <c r="W34" s="298" t="s">
        <v>422</v>
      </c>
      <c r="X34" s="299"/>
      <c r="Y34" s="300"/>
      <c r="AA34" s="116" t="s">
        <v>471</v>
      </c>
      <c r="AB34" s="72"/>
      <c r="AM34" s="1" t="str">
        <v>Rods Pigeon Popcorn</v>
      </c>
    </row>
    <row r="35" spans="1:39" ht="15" thickBot="1" x14ac:dyDescent="0.35">
      <c r="A35" s="226" t="s">
        <v>42</v>
      </c>
      <c r="B35" s="13">
        <v>383806</v>
      </c>
      <c r="C35" s="41" t="s">
        <v>179</v>
      </c>
      <c r="D35" s="50" t="s">
        <v>472</v>
      </c>
      <c r="E35" s="13" t="s">
        <v>428</v>
      </c>
      <c r="F35" s="13"/>
      <c r="G35" s="13">
        <v>20</v>
      </c>
      <c r="H35" s="13">
        <v>48</v>
      </c>
      <c r="I35" s="49" t="s">
        <v>437</v>
      </c>
      <c r="J35" s="88"/>
      <c r="K35" s="94"/>
      <c r="L35" s="73">
        <f>VLOOKUP(ProductCost[[#This Row],[Mix / Product Name]],'M - All'!$B$100:$D$330,3,FALSE)</f>
        <v>0.63640151515151522</v>
      </c>
      <c r="M35" s="19">
        <f>IFERROR(IF(OR(A35="PHF Horse Mixes",A35="Peckish",A35="Hay &amp; Straw",ProductCost[[#This Row],[Bagging Process]]=""),0,$Y$7),0)</f>
        <v>5.5E-2</v>
      </c>
      <c r="N35" s="19">
        <f>IFERROR(VLOOKUP(ProductCost[[#This Row],[Bagging Process]],$W$11:$Y$20,3,FALSE),0)</f>
        <v>0.08</v>
      </c>
      <c r="O35" s="23">
        <f t="shared" si="0"/>
        <v>0</v>
      </c>
      <c r="P35" s="23">
        <f t="shared" si="1"/>
        <v>0.6925</v>
      </c>
      <c r="Q35" s="23">
        <f t="shared" si="2"/>
        <v>1.4583333333333333</v>
      </c>
      <c r="R35" s="227">
        <f t="shared" si="3"/>
        <v>17.578863636363639</v>
      </c>
      <c r="T35" s="96">
        <f t="shared" si="4"/>
        <v>22.682404692082116</v>
      </c>
      <c r="U35" s="114">
        <f t="shared" si="5"/>
        <v>25.5</v>
      </c>
      <c r="V35" s="4"/>
      <c r="W35" s="83" t="s">
        <v>473</v>
      </c>
      <c r="X35" s="50">
        <v>70</v>
      </c>
      <c r="Y35" s="75" t="s">
        <v>474</v>
      </c>
      <c r="AA35" s="117">
        <v>0.192</v>
      </c>
      <c r="AB35" s="72"/>
      <c r="AM35" s="1" t="str">
        <v>Sprint</v>
      </c>
    </row>
    <row r="36" spans="1:39" ht="13.8" x14ac:dyDescent="0.25">
      <c r="A36" s="226" t="s">
        <v>42</v>
      </c>
      <c r="B36" s="13">
        <v>383807</v>
      </c>
      <c r="C36" s="41" t="s">
        <v>182</v>
      </c>
      <c r="D36" s="50" t="s">
        <v>475</v>
      </c>
      <c r="E36" s="13" t="s">
        <v>428</v>
      </c>
      <c r="F36" s="13"/>
      <c r="G36" s="13">
        <v>20</v>
      </c>
      <c r="H36" s="13">
        <v>48</v>
      </c>
      <c r="I36" s="49" t="s">
        <v>437</v>
      </c>
      <c r="J36" s="88"/>
      <c r="K36" s="94"/>
      <c r="L36" s="73">
        <f>VLOOKUP(ProductCost[[#This Row],[Mix / Product Name]],'M - All'!$B$100:$D$330,3,FALSE)</f>
        <v>0.71993451776649731</v>
      </c>
      <c r="M36" s="19">
        <f>IFERROR(IF(OR(A36="PHF Horse Mixes",A36="Peckish",A36="Hay &amp; Straw",ProductCost[[#This Row],[Bagging Process]]=""),0,$Y$7),0)</f>
        <v>5.5E-2</v>
      </c>
      <c r="N36" s="19">
        <f>IFERROR(VLOOKUP(ProductCost[[#This Row],[Bagging Process]],$W$11:$Y$20,3,FALSE),0)</f>
        <v>0.08</v>
      </c>
      <c r="O36" s="23">
        <f t="shared" si="0"/>
        <v>0</v>
      </c>
      <c r="P36" s="23">
        <f t="shared" si="1"/>
        <v>0.6925</v>
      </c>
      <c r="Q36" s="23">
        <f t="shared" si="2"/>
        <v>1.4583333333333333</v>
      </c>
      <c r="R36" s="227">
        <f t="shared" si="3"/>
        <v>19.249523688663281</v>
      </c>
      <c r="T36" s="96">
        <f t="shared" si="4"/>
        <v>24.838095082146168</v>
      </c>
      <c r="U36" s="114">
        <f t="shared" si="5"/>
        <v>27.900000000000002</v>
      </c>
      <c r="V36" s="4"/>
      <c r="W36" s="81" t="s">
        <v>476</v>
      </c>
      <c r="X36" s="130">
        <f>X35+(X35*AA35)</f>
        <v>83.44</v>
      </c>
      <c r="Y36" s="131" t="s">
        <v>474</v>
      </c>
      <c r="AM36" s="1" t="str">
        <v>Stock Mix</v>
      </c>
    </row>
    <row r="37" spans="1:39" ht="14.4" thickBot="1" x14ac:dyDescent="0.3">
      <c r="A37" s="226" t="s">
        <v>42</v>
      </c>
      <c r="B37" s="13">
        <v>383808</v>
      </c>
      <c r="C37" s="41" t="s">
        <v>185</v>
      </c>
      <c r="D37" s="50" t="s">
        <v>186</v>
      </c>
      <c r="E37" s="13" t="s">
        <v>428</v>
      </c>
      <c r="F37" s="13"/>
      <c r="G37" s="13">
        <v>20</v>
      </c>
      <c r="H37" s="13">
        <v>48</v>
      </c>
      <c r="I37" s="49" t="s">
        <v>437</v>
      </c>
      <c r="J37" s="88"/>
      <c r="K37" s="94"/>
      <c r="L37" s="73">
        <f>VLOOKUP(ProductCost[[#This Row],[Mix / Product Name]],'M - All'!$B$100:$D$330,3,FALSE)</f>
        <v>0.77047262499999991</v>
      </c>
      <c r="M37" s="19">
        <f>IFERROR(IF(OR(A37="PHF Horse Mixes",A37="Peckish",A37="Hay &amp; Straw",ProductCost[[#This Row],[Bagging Process]]=""),0,$Y$7),0)</f>
        <v>5.5E-2</v>
      </c>
      <c r="N37" s="19">
        <f>IFERROR(VLOOKUP(ProductCost[[#This Row],[Bagging Process]],$W$11:$Y$20,3,FALSE),0)</f>
        <v>0.08</v>
      </c>
      <c r="O37" s="23">
        <f t="shared" si="0"/>
        <v>0</v>
      </c>
      <c r="P37" s="23">
        <f t="shared" si="1"/>
        <v>0.6925</v>
      </c>
      <c r="Q37" s="23">
        <f t="shared" si="2"/>
        <v>1.4583333333333333</v>
      </c>
      <c r="R37" s="227">
        <f t="shared" si="3"/>
        <v>20.260285833333334</v>
      </c>
      <c r="T37" s="96">
        <f t="shared" si="4"/>
        <v>26.142304301075271</v>
      </c>
      <c r="U37" s="114">
        <f t="shared" si="5"/>
        <v>29.400000000000002</v>
      </c>
      <c r="V37" s="4"/>
      <c r="W37" s="82" t="s">
        <v>21</v>
      </c>
      <c r="X37" s="77">
        <f>X35*1.5</f>
        <v>105</v>
      </c>
      <c r="Y37" s="132" t="s">
        <v>474</v>
      </c>
      <c r="AM37" s="1" t="str">
        <v>Syd Hi Carb</v>
      </c>
    </row>
    <row r="38" spans="1:39" ht="13.8" x14ac:dyDescent="0.25">
      <c r="A38" s="226" t="s">
        <v>42</v>
      </c>
      <c r="B38" s="13">
        <v>383809</v>
      </c>
      <c r="C38" s="41" t="s">
        <v>188</v>
      </c>
      <c r="D38" s="50" t="s">
        <v>189</v>
      </c>
      <c r="E38" s="13" t="s">
        <v>428</v>
      </c>
      <c r="F38" s="13"/>
      <c r="G38" s="13">
        <v>20</v>
      </c>
      <c r="H38" s="13">
        <v>48</v>
      </c>
      <c r="I38" s="49" t="s">
        <v>437</v>
      </c>
      <c r="J38" s="88"/>
      <c r="K38" s="94"/>
      <c r="L38" s="73">
        <f>VLOOKUP(ProductCost[[#This Row],[Mix / Product Name]],'M - All'!$B$100:$D$330,3,FALSE)</f>
        <v>0.55943999999999994</v>
      </c>
      <c r="M38" s="19">
        <f>IFERROR(IF(OR(A38="PHF Horse Mixes",A38="Peckish",A38="Hay &amp; Straw",ProductCost[[#This Row],[Bagging Process]]=""),0,$Y$7),0)</f>
        <v>5.5E-2</v>
      </c>
      <c r="N38" s="19">
        <f>IFERROR(VLOOKUP(ProductCost[[#This Row],[Bagging Process]],$W$11:$Y$20,3,FALSE),0)</f>
        <v>0.08</v>
      </c>
      <c r="O38" s="23">
        <f t="shared" si="0"/>
        <v>0</v>
      </c>
      <c r="P38" s="23">
        <f t="shared" si="1"/>
        <v>0.6925</v>
      </c>
      <c r="Q38" s="23">
        <f t="shared" si="2"/>
        <v>1.4583333333333333</v>
      </c>
      <c r="R38" s="227">
        <f t="shared" si="3"/>
        <v>16.039633333333335</v>
      </c>
      <c r="T38" s="96">
        <f t="shared" si="4"/>
        <v>20.696301075268817</v>
      </c>
      <c r="U38" s="114">
        <f t="shared" si="5"/>
        <v>23.3</v>
      </c>
      <c r="V38" s="4"/>
      <c r="AM38" s="1" t="str">
        <v>Sydney Depurative</v>
      </c>
    </row>
    <row r="39" spans="1:39" ht="13.8" x14ac:dyDescent="0.25">
      <c r="A39" s="226" t="s">
        <v>42</v>
      </c>
      <c r="B39" s="13">
        <v>408406</v>
      </c>
      <c r="C39" s="41" t="s">
        <v>205</v>
      </c>
      <c r="D39" s="50" t="s">
        <v>477</v>
      </c>
      <c r="E39" s="13" t="s">
        <v>428</v>
      </c>
      <c r="F39" s="13"/>
      <c r="G39" s="13">
        <v>20</v>
      </c>
      <c r="H39" s="13">
        <v>48</v>
      </c>
      <c r="I39" s="49" t="s">
        <v>437</v>
      </c>
      <c r="J39" s="88"/>
      <c r="K39" s="94"/>
      <c r="L39" s="73">
        <f>VLOOKUP(ProductCost[[#This Row],[Mix / Product Name]],'M - All'!$B$100:$D$330,3,FALSE)</f>
        <v>0.65918999999999994</v>
      </c>
      <c r="M39" s="19">
        <f>IFERROR(IF(OR(A39="PHF Horse Mixes",A39="Peckish",A39="Hay &amp; Straw",ProductCost[[#This Row],[Bagging Process]]=""),0,$Y$7),0)</f>
        <v>5.5E-2</v>
      </c>
      <c r="N39" s="19">
        <f>IFERROR(VLOOKUP(ProductCost[[#This Row],[Bagging Process]],$W$11:$Y$20,3,FALSE),0)</f>
        <v>0.08</v>
      </c>
      <c r="O39" s="23">
        <f t="shared" si="0"/>
        <v>0</v>
      </c>
      <c r="P39" s="23">
        <f t="shared" si="1"/>
        <v>0.6925</v>
      </c>
      <c r="Q39" s="23">
        <f t="shared" si="2"/>
        <v>1.4583333333333333</v>
      </c>
      <c r="R39" s="227">
        <f t="shared" si="3"/>
        <v>18.034633333333332</v>
      </c>
      <c r="T39" s="96">
        <f t="shared" si="4"/>
        <v>23.27049462365591</v>
      </c>
      <c r="U39" s="114">
        <f t="shared" si="5"/>
        <v>26.200000000000003</v>
      </c>
      <c r="V39" s="4"/>
      <c r="AM39" s="1" t="str">
        <v xml:space="preserve">Trapping </v>
      </c>
    </row>
    <row r="40" spans="1:39" ht="13.8" x14ac:dyDescent="0.25">
      <c r="A40" s="226" t="s">
        <v>42</v>
      </c>
      <c r="B40" s="13">
        <v>383810</v>
      </c>
      <c r="C40" s="41" t="s">
        <v>40</v>
      </c>
      <c r="D40" s="50" t="s">
        <v>41</v>
      </c>
      <c r="E40" s="13" t="s">
        <v>428</v>
      </c>
      <c r="F40" s="13"/>
      <c r="G40" s="13">
        <v>20</v>
      </c>
      <c r="H40" s="13">
        <v>48</v>
      </c>
      <c r="I40" s="49" t="s">
        <v>437</v>
      </c>
      <c r="J40" s="88"/>
      <c r="K40" s="94"/>
      <c r="L40" s="73">
        <f>VLOOKUP(ProductCost[[#This Row],[Mix / Product Name]],'M - All'!$B$100:$D$330,3,FALSE)</f>
        <v>0.65252599009900991</v>
      </c>
      <c r="M40" s="19">
        <f>IFERROR(IF(OR(A40="PHF Horse Mixes",A40="Peckish",A40="Hay &amp; Straw",ProductCost[[#This Row],[Bagging Process]]=""),0,$Y$7),0)</f>
        <v>5.5E-2</v>
      </c>
      <c r="N40" s="19">
        <f>IFERROR(VLOOKUP(ProductCost[[#This Row],[Bagging Process]],$W$11:$Y$20,3,FALSE),0)</f>
        <v>0.08</v>
      </c>
      <c r="O40" s="23">
        <f t="shared" si="0"/>
        <v>0</v>
      </c>
      <c r="P40" s="23">
        <f t="shared" si="1"/>
        <v>0.6925</v>
      </c>
      <c r="Q40" s="23">
        <f t="shared" si="2"/>
        <v>1.4583333333333333</v>
      </c>
      <c r="R40" s="227">
        <f t="shared" si="3"/>
        <v>17.901353135313531</v>
      </c>
      <c r="T40" s="96">
        <f t="shared" si="4"/>
        <v>23.098520174598104</v>
      </c>
      <c r="U40" s="114">
        <f t="shared" si="5"/>
        <v>26</v>
      </c>
      <c r="V40" s="4"/>
      <c r="AM40" s="1" t="str">
        <v>VHA Mix</v>
      </c>
    </row>
    <row r="41" spans="1:39" ht="13.8" x14ac:dyDescent="0.25">
      <c r="A41" s="226" t="s">
        <v>42</v>
      </c>
      <c r="B41" s="13">
        <v>383811</v>
      </c>
      <c r="C41" s="41" t="s">
        <v>44</v>
      </c>
      <c r="D41" s="50" t="s">
        <v>478</v>
      </c>
      <c r="E41" s="13" t="s">
        <v>428</v>
      </c>
      <c r="F41" s="13"/>
      <c r="G41" s="13">
        <v>20</v>
      </c>
      <c r="H41" s="13">
        <v>48</v>
      </c>
      <c r="I41" s="49" t="s">
        <v>437</v>
      </c>
      <c r="J41" s="88"/>
      <c r="K41" s="94"/>
      <c r="L41" s="73">
        <f>VLOOKUP(ProductCost[[#This Row],[Mix / Product Name]],'M - All'!$B$100:$D$330,3,FALSE)</f>
        <v>0.70190717821782178</v>
      </c>
      <c r="M41" s="19">
        <f>IFERROR(IF(OR(A41="PHF Horse Mixes",A41="Peckish",A41="Hay &amp; Straw",ProductCost[[#This Row],[Bagging Process]]=""),0,$Y$7),0)</f>
        <v>5.5E-2</v>
      </c>
      <c r="N41" s="19">
        <f>IFERROR(VLOOKUP(ProductCost[[#This Row],[Bagging Process]],$W$11:$Y$20,3,FALSE),0)</f>
        <v>0.08</v>
      </c>
      <c r="O41" s="23">
        <f t="shared" si="0"/>
        <v>0</v>
      </c>
      <c r="P41" s="23">
        <f t="shared" si="1"/>
        <v>0.6925</v>
      </c>
      <c r="Q41" s="23">
        <f t="shared" si="2"/>
        <v>1.4583333333333333</v>
      </c>
      <c r="R41" s="227">
        <f t="shared" si="3"/>
        <v>18.888976897689769</v>
      </c>
      <c r="T41" s="96">
        <f t="shared" si="4"/>
        <v>24.372873416373896</v>
      </c>
      <c r="U41" s="114">
        <f t="shared" si="5"/>
        <v>27.400000000000002</v>
      </c>
      <c r="V41" s="4"/>
      <c r="AM41" s="1" t="str">
        <v>Wildbird Mix - BUDGET</v>
      </c>
    </row>
    <row r="42" spans="1:39" ht="13.8" x14ac:dyDescent="0.25">
      <c r="A42" s="226" t="s">
        <v>42</v>
      </c>
      <c r="B42" s="13">
        <v>383812</v>
      </c>
      <c r="C42" s="41" t="s">
        <v>46</v>
      </c>
      <c r="D42" s="50" t="s">
        <v>47</v>
      </c>
      <c r="E42" s="13" t="s">
        <v>428</v>
      </c>
      <c r="F42" s="13"/>
      <c r="G42" s="13">
        <v>20</v>
      </c>
      <c r="H42" s="13">
        <v>48</v>
      </c>
      <c r="I42" s="49" t="s">
        <v>437</v>
      </c>
      <c r="J42" s="88"/>
      <c r="K42" s="94"/>
      <c r="L42" s="73">
        <f>VLOOKUP(ProductCost[[#This Row],[Mix / Product Name]],'M - All'!$B$100:$D$330,3,FALSE)</f>
        <v>0.80609458128078815</v>
      </c>
      <c r="M42" s="19">
        <f>IFERROR(IF(OR(A42="PHF Horse Mixes",A42="Peckish",A42="Hay &amp; Straw",ProductCost[[#This Row],[Bagging Process]]=""),0,$Y$7),0)</f>
        <v>5.5E-2</v>
      </c>
      <c r="N42" s="19">
        <f>IFERROR(VLOOKUP(ProductCost[[#This Row],[Bagging Process]],$W$11:$Y$20,3,FALSE),0)</f>
        <v>0.08</v>
      </c>
      <c r="O42" s="23">
        <f t="shared" si="0"/>
        <v>0</v>
      </c>
      <c r="P42" s="23">
        <f t="shared" si="1"/>
        <v>0.6925</v>
      </c>
      <c r="Q42" s="23">
        <f t="shared" si="2"/>
        <v>1.4583333333333333</v>
      </c>
      <c r="R42" s="227">
        <f t="shared" si="3"/>
        <v>20.972724958949097</v>
      </c>
      <c r="T42" s="96">
        <f t="shared" si="4"/>
        <v>27.061580592192382</v>
      </c>
      <c r="U42" s="114">
        <f t="shared" si="5"/>
        <v>30.400000000000002</v>
      </c>
      <c r="V42" s="4"/>
      <c r="AM42" s="1" t="str">
        <v>Hunter - Budgie Mix</v>
      </c>
    </row>
    <row r="43" spans="1:39" ht="13.8" x14ac:dyDescent="0.25">
      <c r="A43" s="226" t="s">
        <v>42</v>
      </c>
      <c r="B43" s="13">
        <v>501073</v>
      </c>
      <c r="C43" s="41" t="s">
        <v>239</v>
      </c>
      <c r="D43" s="50" t="s">
        <v>479</v>
      </c>
      <c r="E43" s="13" t="s">
        <v>428</v>
      </c>
      <c r="F43" s="13"/>
      <c r="G43" s="13">
        <v>20</v>
      </c>
      <c r="H43" s="13">
        <v>48</v>
      </c>
      <c r="I43" s="49" t="s">
        <v>437</v>
      </c>
      <c r="J43" s="88"/>
      <c r="K43" s="94"/>
      <c r="L43" s="73">
        <f>VLOOKUP(ProductCost[[#This Row],[Mix / Product Name]],'M - All'!$B$100:$D$330,3,FALSE)</f>
        <v>0.61609016587677723</v>
      </c>
      <c r="M43" s="19">
        <f>IFERROR(IF(OR(A43="PHF Horse Mixes",A43="Peckish",A43="Hay &amp; Straw",ProductCost[[#This Row],[Bagging Process]]=""),0,$Y$7),0)</f>
        <v>5.5E-2</v>
      </c>
      <c r="N43" s="19">
        <f>IFERROR(VLOOKUP(ProductCost[[#This Row],[Bagging Process]],$W$11:$Y$20,3,FALSE),0)</f>
        <v>0.08</v>
      </c>
      <c r="O43" s="23">
        <f t="shared" si="0"/>
        <v>0</v>
      </c>
      <c r="P43" s="23">
        <f t="shared" si="1"/>
        <v>0.6925</v>
      </c>
      <c r="Q43" s="23">
        <f t="shared" si="2"/>
        <v>1.4583333333333333</v>
      </c>
      <c r="R43" s="227">
        <f t="shared" si="3"/>
        <v>17.172636650868878</v>
      </c>
      <c r="T43" s="96">
        <f t="shared" si="4"/>
        <v>22.15824083983081</v>
      </c>
      <c r="U43" s="114">
        <f t="shared" si="5"/>
        <v>24.900000000000002</v>
      </c>
      <c r="V43" s="4"/>
      <c r="AM43" s="1" t="str">
        <v>Lovebird Mix</v>
      </c>
    </row>
    <row r="44" spans="1:39" ht="13.8" x14ac:dyDescent="0.25">
      <c r="A44" s="226" t="s">
        <v>42</v>
      </c>
      <c r="B44" s="13">
        <v>501072</v>
      </c>
      <c r="C44" s="41" t="s">
        <v>236</v>
      </c>
      <c r="D44" s="50" t="s">
        <v>480</v>
      </c>
      <c r="E44" s="13" t="s">
        <v>428</v>
      </c>
      <c r="F44" s="13"/>
      <c r="G44" s="13">
        <v>20</v>
      </c>
      <c r="H44" s="13">
        <v>48</v>
      </c>
      <c r="I44" s="49" t="s">
        <v>437</v>
      </c>
      <c r="J44" s="88"/>
      <c r="K44" s="94"/>
      <c r="L44" s="73">
        <f>VLOOKUP(ProductCost[[#This Row],[Mix / Product Name]],'M - All'!$B$100:$D$330,3,FALSE)</f>
        <v>0.64391799999999999</v>
      </c>
      <c r="M44" s="19">
        <f>IFERROR(IF(OR(A44="PHF Horse Mixes",A44="Peckish",A44="Hay &amp; Straw",ProductCost[[#This Row],[Bagging Process]]=""),0,$Y$7),0)</f>
        <v>5.5E-2</v>
      </c>
      <c r="N44" s="19">
        <f>IFERROR(VLOOKUP(ProductCost[[#This Row],[Bagging Process]],$W$11:$Y$20,3,FALSE),0)</f>
        <v>0.08</v>
      </c>
      <c r="O44" s="23">
        <f t="shared" si="0"/>
        <v>0</v>
      </c>
      <c r="P44" s="23">
        <f t="shared" si="1"/>
        <v>0.6925</v>
      </c>
      <c r="Q44" s="23">
        <f t="shared" si="2"/>
        <v>1.4583333333333333</v>
      </c>
      <c r="R44" s="227">
        <f t="shared" si="3"/>
        <v>17.729193333333335</v>
      </c>
      <c r="T44" s="96">
        <f t="shared" si="4"/>
        <v>22.876378494623658</v>
      </c>
      <c r="U44" s="114">
        <f t="shared" si="5"/>
        <v>25.700000000000003</v>
      </c>
      <c r="V44" s="4"/>
      <c r="AM44" s="1" t="str">
        <v>Hunter - Parrot Mix</v>
      </c>
    </row>
    <row r="45" spans="1:39" ht="13.8" x14ac:dyDescent="0.25">
      <c r="A45" s="226" t="s">
        <v>42</v>
      </c>
      <c r="B45" s="13">
        <v>383813</v>
      </c>
      <c r="C45" s="41" t="s">
        <v>191</v>
      </c>
      <c r="D45" s="50" t="s">
        <v>481</v>
      </c>
      <c r="E45" s="13" t="s">
        <v>428</v>
      </c>
      <c r="F45" s="13"/>
      <c r="G45" s="13">
        <v>20</v>
      </c>
      <c r="H45" s="13">
        <v>48</v>
      </c>
      <c r="I45" s="49" t="s">
        <v>437</v>
      </c>
      <c r="J45" s="88"/>
      <c r="K45" s="94"/>
      <c r="L45" s="73">
        <f>VLOOKUP(ProductCost[[#This Row],[Mix / Product Name]],'M - All'!$B$100:$D$330,3,FALSE)</f>
        <v>1.0713972602739728</v>
      </c>
      <c r="M45" s="19">
        <f>IFERROR(IF(OR(A45="PHF Horse Mixes",A45="Peckish",A45="Hay &amp; Straw",ProductCost[[#This Row],[Bagging Process]]=""),0,$Y$7),0)</f>
        <v>5.5E-2</v>
      </c>
      <c r="N45" s="19">
        <f>IFERROR(VLOOKUP(ProductCost[[#This Row],[Bagging Process]],$W$11:$Y$20,3,FALSE),0)</f>
        <v>0.08</v>
      </c>
      <c r="O45" s="23">
        <f t="shared" si="0"/>
        <v>0</v>
      </c>
      <c r="P45" s="23">
        <f t="shared" si="1"/>
        <v>0.6925</v>
      </c>
      <c r="Q45" s="23">
        <f t="shared" si="2"/>
        <v>1.4583333333333333</v>
      </c>
      <c r="R45" s="227">
        <f t="shared" si="3"/>
        <v>26.278778538812791</v>
      </c>
      <c r="T45" s="96">
        <f t="shared" si="4"/>
        <v>33.908101340403597</v>
      </c>
      <c r="U45" s="114">
        <f t="shared" si="5"/>
        <v>38.1</v>
      </c>
      <c r="V45" s="4"/>
      <c r="AM45" s="1" t="str">
        <v>Hunter Wildbird Mix</v>
      </c>
    </row>
    <row r="46" spans="1:39" ht="13.8" x14ac:dyDescent="0.25">
      <c r="A46" s="226" t="s">
        <v>42</v>
      </c>
      <c r="B46" s="13">
        <v>501080</v>
      </c>
      <c r="C46" s="41" t="s">
        <v>244</v>
      </c>
      <c r="D46" s="50" t="s">
        <v>482</v>
      </c>
      <c r="E46" s="13" t="s">
        <v>428</v>
      </c>
      <c r="F46" s="13"/>
      <c r="G46" s="13">
        <v>20</v>
      </c>
      <c r="H46" s="13">
        <v>48</v>
      </c>
      <c r="I46" s="49" t="s">
        <v>437</v>
      </c>
      <c r="J46" s="88"/>
      <c r="K46" s="94"/>
      <c r="L46" s="73">
        <f>VLOOKUP(ProductCost[[#This Row],[Mix / Product Name]],'M - All'!$B$100:$D$330,3,FALSE)</f>
        <v>0.64900124999999986</v>
      </c>
      <c r="M46" s="19">
        <f>IFERROR(IF(OR(A46="PHF Horse Mixes",A46="Peckish",A46="Hay &amp; Straw",ProductCost[[#This Row],[Bagging Process]]=""),0,$Y$7),0)</f>
        <v>5.5E-2</v>
      </c>
      <c r="N46" s="19">
        <f>IFERROR(VLOOKUP(ProductCost[[#This Row],[Bagging Process]],$W$11:$Y$20,3,FALSE),0)</f>
        <v>0.08</v>
      </c>
      <c r="O46" s="23">
        <f t="shared" si="0"/>
        <v>0</v>
      </c>
      <c r="P46" s="23">
        <f t="shared" si="1"/>
        <v>0.6925</v>
      </c>
      <c r="Q46" s="23">
        <f t="shared" si="2"/>
        <v>1.4583333333333333</v>
      </c>
      <c r="R46" s="227">
        <f t="shared" si="3"/>
        <v>17.830858333333332</v>
      </c>
      <c r="T46" s="96">
        <f t="shared" si="4"/>
        <v>23.007559139784945</v>
      </c>
      <c r="U46" s="114">
        <f t="shared" si="5"/>
        <v>25.900000000000002</v>
      </c>
      <c r="V46" s="4"/>
      <c r="AM46" s="1" t="str">
        <v>Mayreef Gold</v>
      </c>
    </row>
    <row r="47" spans="1:39" ht="13.8" x14ac:dyDescent="0.25">
      <c r="A47" s="226" t="s">
        <v>42</v>
      </c>
      <c r="B47" s="13">
        <v>503638</v>
      </c>
      <c r="C47" s="41" t="s">
        <v>253</v>
      </c>
      <c r="D47" s="50" t="s">
        <v>483</v>
      </c>
      <c r="E47" s="13" t="s">
        <v>428</v>
      </c>
      <c r="F47" s="13"/>
      <c r="G47" s="13">
        <v>20</v>
      </c>
      <c r="H47" s="13">
        <v>48</v>
      </c>
      <c r="I47" s="49" t="s">
        <v>437</v>
      </c>
      <c r="J47" s="88"/>
      <c r="K47" s="94"/>
      <c r="L47" s="73">
        <f>VLOOKUP(ProductCost[[#This Row],[Mix / Product Name]],'M - All'!$B$100:$D$330,3,FALSE)</f>
        <v>0.72798786407766991</v>
      </c>
      <c r="M47" s="19">
        <f>IFERROR(IF(OR(A47="PHF Horse Mixes",A47="Peckish",A47="Hay &amp; Straw",ProductCost[[#This Row],[Bagging Process]]=""),0,$Y$7),0)</f>
        <v>5.5E-2</v>
      </c>
      <c r="N47" s="19">
        <f>IFERROR(VLOOKUP(ProductCost[[#This Row],[Bagging Process]],$W$11:$Y$20,3,FALSE),0)</f>
        <v>0.08</v>
      </c>
      <c r="O47" s="23">
        <f t="shared" si="0"/>
        <v>0</v>
      </c>
      <c r="P47" s="23">
        <f t="shared" si="1"/>
        <v>0.6925</v>
      </c>
      <c r="Q47" s="23">
        <f t="shared" si="2"/>
        <v>1.4583333333333333</v>
      </c>
      <c r="R47" s="227">
        <f t="shared" si="3"/>
        <v>19.410590614886733</v>
      </c>
      <c r="T47" s="96">
        <f t="shared" si="4"/>
        <v>25.045923374047398</v>
      </c>
      <c r="U47" s="114">
        <f t="shared" si="5"/>
        <v>28.200000000000003</v>
      </c>
      <c r="V47" s="4"/>
      <c r="AM47" s="1" t="str">
        <v>AgriBarn Poultry Mix</v>
      </c>
    </row>
    <row r="48" spans="1:39" ht="13.8" x14ac:dyDescent="0.25">
      <c r="A48" s="226" t="s">
        <v>42</v>
      </c>
      <c r="B48" s="13">
        <v>491986</v>
      </c>
      <c r="C48" s="41" t="s">
        <v>82</v>
      </c>
      <c r="D48" s="50" t="s">
        <v>484</v>
      </c>
      <c r="E48" s="13" t="s">
        <v>428</v>
      </c>
      <c r="F48" s="13"/>
      <c r="G48" s="13">
        <v>20</v>
      </c>
      <c r="H48" s="13">
        <v>48</v>
      </c>
      <c r="I48" s="49" t="s">
        <v>437</v>
      </c>
      <c r="J48" s="88"/>
      <c r="K48" s="94"/>
      <c r="L48" s="73">
        <f>VLOOKUP(ProductCost[[#This Row],[Mix / Product Name]],'M - All'!$B$100:$D$330,3,FALSE)</f>
        <v>0.46599236111111109</v>
      </c>
      <c r="M48" s="19">
        <f>IFERROR(IF(OR(A48="PHF Horse Mixes",A48="Peckish",A48="Hay &amp; Straw",ProductCost[[#This Row],[Bagging Process]]=""),0,$Y$7),0)</f>
        <v>5.5E-2</v>
      </c>
      <c r="N48" s="19">
        <f>IFERROR(VLOOKUP(ProductCost[[#This Row],[Bagging Process]],$W$11:$Y$20,3,FALSE),0)</f>
        <v>0.08</v>
      </c>
      <c r="O48" s="23">
        <f t="shared" si="0"/>
        <v>0</v>
      </c>
      <c r="P48" s="23">
        <f t="shared" si="1"/>
        <v>0.6925</v>
      </c>
      <c r="Q48" s="23">
        <f t="shared" si="2"/>
        <v>1.4583333333333333</v>
      </c>
      <c r="R48" s="227">
        <f t="shared" si="3"/>
        <v>14.170680555555554</v>
      </c>
      <c r="T48" s="96">
        <f t="shared" si="4"/>
        <v>18.284749103942652</v>
      </c>
      <c r="U48" s="114">
        <f t="shared" si="5"/>
        <v>20.6</v>
      </c>
      <c r="V48" s="4"/>
      <c r="AM48" s="1" t="str">
        <v>Chook Tucker</v>
      </c>
    </row>
    <row r="49" spans="1:39" ht="13.8" x14ac:dyDescent="0.25">
      <c r="A49" s="226" t="s">
        <v>42</v>
      </c>
      <c r="B49" s="13">
        <v>491985</v>
      </c>
      <c r="C49" s="41" t="s">
        <v>80</v>
      </c>
      <c r="D49" s="50" t="s">
        <v>485</v>
      </c>
      <c r="E49" s="13" t="s">
        <v>428</v>
      </c>
      <c r="F49" s="13"/>
      <c r="G49" s="13">
        <v>20</v>
      </c>
      <c r="H49" s="13">
        <v>48</v>
      </c>
      <c r="I49" s="49" t="s">
        <v>437</v>
      </c>
      <c r="J49" s="88"/>
      <c r="K49" s="94"/>
      <c r="L49" s="73">
        <f>VLOOKUP(ProductCost[[#This Row],[Mix / Product Name]],'M - All'!$B$100:$D$330,3,FALSE)</f>
        <v>0.4336659722222222</v>
      </c>
      <c r="M49" s="19">
        <f>IFERROR(IF(OR(A49="PHF Horse Mixes",A49="Peckish",A49="Hay &amp; Straw",ProductCost[[#This Row],[Bagging Process]]=""),0,$Y$7),0)</f>
        <v>5.5E-2</v>
      </c>
      <c r="N49" s="19">
        <f>IFERROR(VLOOKUP(ProductCost[[#This Row],[Bagging Process]],$W$11:$Y$20,3,FALSE),0)</f>
        <v>0.08</v>
      </c>
      <c r="O49" s="23">
        <f t="shared" si="0"/>
        <v>0</v>
      </c>
      <c r="P49" s="23">
        <f t="shared" si="1"/>
        <v>0.6925</v>
      </c>
      <c r="Q49" s="23">
        <f t="shared" si="2"/>
        <v>1.4583333333333333</v>
      </c>
      <c r="R49" s="227">
        <f t="shared" si="3"/>
        <v>13.524152777777775</v>
      </c>
      <c r="T49" s="96">
        <f t="shared" si="4"/>
        <v>17.450519713261645</v>
      </c>
      <c r="U49" s="114">
        <f t="shared" si="5"/>
        <v>19.700000000000003</v>
      </c>
      <c r="V49" s="4"/>
      <c r="AM49" s="1" t="str">
        <v>Peckish Wild Bird Mix</v>
      </c>
    </row>
    <row r="50" spans="1:39" ht="13.8" x14ac:dyDescent="0.25">
      <c r="A50" s="226" t="s">
        <v>42</v>
      </c>
      <c r="B50" s="13">
        <v>540725</v>
      </c>
      <c r="C50" s="50" t="s">
        <v>271</v>
      </c>
      <c r="D50" s="50" t="s">
        <v>272</v>
      </c>
      <c r="E50" s="13" t="s">
        <v>428</v>
      </c>
      <c r="F50" s="13"/>
      <c r="G50" s="13">
        <v>20</v>
      </c>
      <c r="H50" s="13">
        <v>48</v>
      </c>
      <c r="I50" s="49" t="s">
        <v>437</v>
      </c>
      <c r="J50" s="88"/>
      <c r="K50" s="94"/>
      <c r="L50" s="73">
        <f>VLOOKUP(ProductCost[[#This Row],[Mix / Product Name]],'M - All'!$B$100:$D$330,3,FALSE)</f>
        <v>0.4336659722222222</v>
      </c>
      <c r="M50" s="19">
        <f>IFERROR(IF(OR(A50="PHF Horse Mixes",A50="Peckish",A50="Hay &amp; Straw",ProductCost[[#This Row],[Bagging Process]]=""),0,$Y$7),0)</f>
        <v>5.5E-2</v>
      </c>
      <c r="N50" s="19">
        <f>IFERROR(VLOOKUP(ProductCost[[#This Row],[Bagging Process]],$W$11:$Y$20,3,FALSE),0)</f>
        <v>0.08</v>
      </c>
      <c r="O50" s="23">
        <f t="shared" si="0"/>
        <v>0</v>
      </c>
      <c r="P50" s="23">
        <f t="shared" si="1"/>
        <v>0.6925</v>
      </c>
      <c r="Q50" s="23">
        <f t="shared" si="2"/>
        <v>1.4583333333333333</v>
      </c>
      <c r="R50" s="227">
        <f t="shared" si="3"/>
        <v>13.524152777777775</v>
      </c>
      <c r="T50" s="96">
        <f t="shared" si="4"/>
        <v>17.450519713261645</v>
      </c>
      <c r="U50" s="114">
        <f t="shared" si="5"/>
        <v>19.700000000000003</v>
      </c>
      <c r="V50" s="4"/>
      <c r="AM50" s="1" t="str">
        <v>Peckish Free Range Layer Mix</v>
      </c>
    </row>
    <row r="51" spans="1:39" ht="13.8" x14ac:dyDescent="0.25">
      <c r="A51" s="226" t="s">
        <v>42</v>
      </c>
      <c r="B51" s="13">
        <v>403935</v>
      </c>
      <c r="C51" s="48" t="s">
        <v>486</v>
      </c>
      <c r="D51" s="50" t="s">
        <v>487</v>
      </c>
      <c r="E51" s="13" t="s">
        <v>428</v>
      </c>
      <c r="F51" s="13"/>
      <c r="G51" s="13">
        <v>20</v>
      </c>
      <c r="H51" s="13">
        <v>48</v>
      </c>
      <c r="I51" s="49" t="s">
        <v>437</v>
      </c>
      <c r="J51" s="88"/>
      <c r="K51" s="94"/>
      <c r="L51" s="73">
        <f>VLOOKUP(ProductCost[[#This Row],[Mix / Product Name]],'M - All'!$B$100:$D$330,3,FALSE)</f>
        <v>0.58330825000000008</v>
      </c>
      <c r="M51" s="19">
        <f>IFERROR(IF(OR(A51="PHF Horse Mixes",A51="Peckish",A51="Hay &amp; Straw",ProductCost[[#This Row],[Bagging Process]]=""),0,$Y$7),0)</f>
        <v>5.5E-2</v>
      </c>
      <c r="N51" s="19">
        <f>IFERROR(VLOOKUP(ProductCost[[#This Row],[Bagging Process]],$W$11:$Y$20,3,FALSE),0)</f>
        <v>0.08</v>
      </c>
      <c r="O51" s="23">
        <f t="shared" si="0"/>
        <v>0</v>
      </c>
      <c r="P51" s="23">
        <f t="shared" si="1"/>
        <v>0.6925</v>
      </c>
      <c r="Q51" s="23">
        <f t="shared" si="2"/>
        <v>1.4583333333333333</v>
      </c>
      <c r="R51" s="227">
        <f t="shared" si="3"/>
        <v>16.516998333333337</v>
      </c>
      <c r="T51" s="96">
        <f t="shared" si="4"/>
        <v>21.3122559139785</v>
      </c>
      <c r="U51" s="114">
        <f t="shared" si="5"/>
        <v>24</v>
      </c>
      <c r="V51" s="4"/>
      <c r="AM51" s="1" t="str">
        <v>Peckish Performance Layer Mix</v>
      </c>
    </row>
    <row r="52" spans="1:39" ht="13.8" x14ac:dyDescent="0.25">
      <c r="A52" s="226" t="s">
        <v>42</v>
      </c>
      <c r="B52" s="13"/>
      <c r="C52" s="50" t="s">
        <v>488</v>
      </c>
      <c r="D52" s="50" t="s">
        <v>489</v>
      </c>
      <c r="E52" s="13" t="s">
        <v>428</v>
      </c>
      <c r="F52" s="13"/>
      <c r="G52" s="13">
        <v>22</v>
      </c>
      <c r="H52" s="13">
        <v>48</v>
      </c>
      <c r="I52" s="49" t="s">
        <v>437</v>
      </c>
      <c r="J52" s="88"/>
      <c r="K52" s="94"/>
      <c r="L52" s="73">
        <f>VLOOKUP(ProductCost[[#This Row],[Mix / Product Name]],'M - All'!$B$100:$D$330,3,FALSE)</f>
        <v>1.0588648648648651</v>
      </c>
      <c r="M52" s="19">
        <f>IFERROR(IF(OR(A52="PHF Horse Mixes",A52="Peckish",A52="Hay &amp; Straw",ProductCost[[#This Row],[Bagging Process]]=""),0,$Y$7),0)</f>
        <v>5.5E-2</v>
      </c>
      <c r="N52" s="19">
        <f>IFERROR(VLOOKUP(ProductCost[[#This Row],[Bagging Process]],$W$11:$Y$20,3,FALSE),0)</f>
        <v>0.08</v>
      </c>
      <c r="O52" s="23">
        <f t="shared" si="0"/>
        <v>0</v>
      </c>
      <c r="P52" s="23">
        <f t="shared" si="1"/>
        <v>0.6925</v>
      </c>
      <c r="Q52" s="23">
        <f t="shared" si="2"/>
        <v>1.4583333333333333</v>
      </c>
      <c r="R52" s="227">
        <f t="shared" si="3"/>
        <v>28.415860360360366</v>
      </c>
      <c r="T52" s="96">
        <f t="shared" si="4"/>
        <v>36.665626271432728</v>
      </c>
      <c r="U52" s="114">
        <f t="shared" si="5"/>
        <v>41.2</v>
      </c>
      <c r="V52" s="4"/>
      <c r="AM52" s="1" t="str">
        <v>Peckish Pigeon Mix</v>
      </c>
    </row>
    <row r="53" spans="1:39" ht="13.8" x14ac:dyDescent="0.25">
      <c r="A53" s="226" t="s">
        <v>42</v>
      </c>
      <c r="B53" s="13"/>
      <c r="C53" s="41" t="s">
        <v>490</v>
      </c>
      <c r="D53" s="50" t="s">
        <v>490</v>
      </c>
      <c r="E53" s="13" t="s">
        <v>428</v>
      </c>
      <c r="F53" s="13"/>
      <c r="G53" s="13">
        <v>20</v>
      </c>
      <c r="H53" s="13">
        <v>48</v>
      </c>
      <c r="I53" s="49" t="s">
        <v>437</v>
      </c>
      <c r="J53" s="88"/>
      <c r="K53" s="94"/>
      <c r="L53" s="73">
        <f>VLOOKUP(ProductCost[[#This Row],[Mix / Product Name]],'M - All'!$B$100:$D$330,3,FALSE)</f>
        <v>0.63529499999999994</v>
      </c>
      <c r="M53" s="19">
        <f>IFERROR(IF(OR(A53="PHF Horse Mixes",A53="Peckish",A53="Hay &amp; Straw",ProductCost[[#This Row],[Bagging Process]]=""),0,$Y$7),0)</f>
        <v>5.5E-2</v>
      </c>
      <c r="N53" s="19">
        <f>IFERROR(VLOOKUP(ProductCost[[#This Row],[Bagging Process]],$W$11:$Y$20,3,FALSE),0)</f>
        <v>0.08</v>
      </c>
      <c r="O53" s="23">
        <f t="shared" si="0"/>
        <v>0</v>
      </c>
      <c r="P53" s="23">
        <f t="shared" si="1"/>
        <v>0.6925</v>
      </c>
      <c r="Q53" s="23">
        <f t="shared" si="2"/>
        <v>1.4583333333333333</v>
      </c>
      <c r="R53" s="227">
        <f t="shared" si="3"/>
        <v>17.556733333333334</v>
      </c>
      <c r="T53" s="96">
        <f t="shared" si="4"/>
        <v>22.653849462365592</v>
      </c>
      <c r="U53" s="114">
        <f t="shared" si="5"/>
        <v>25.5</v>
      </c>
      <c r="V53" s="4"/>
      <c r="AM53" s="1" t="str">
        <v>Peckish Wheat</v>
      </c>
    </row>
    <row r="54" spans="1:39" ht="13.8" x14ac:dyDescent="0.25">
      <c r="A54" s="226" t="s">
        <v>42</v>
      </c>
      <c r="B54" s="13">
        <v>383814</v>
      </c>
      <c r="C54" s="50" t="s">
        <v>194</v>
      </c>
      <c r="D54" s="50" t="s">
        <v>491</v>
      </c>
      <c r="E54" s="13" t="s">
        <v>428</v>
      </c>
      <c r="F54" s="13"/>
      <c r="G54" s="13">
        <v>20</v>
      </c>
      <c r="H54" s="13">
        <v>48</v>
      </c>
      <c r="I54" s="49" t="s">
        <v>437</v>
      </c>
      <c r="J54" s="88"/>
      <c r="K54" s="94"/>
      <c r="L54" s="73">
        <f>VLOOKUP(ProductCost[[#This Row],[Mix / Product Name]],'M - All'!$B$100:$D$330,3,FALSE)</f>
        <v>0.33145882352941175</v>
      </c>
      <c r="M54" s="19">
        <f>IFERROR(IF(OR(A54="PHF Horse Mixes",A54="Peckish",A54="Hay &amp; Straw",ProductCost[[#This Row],[Bagging Process]]=""),0,$Y$7),0)</f>
        <v>5.5E-2</v>
      </c>
      <c r="N54" s="19">
        <f>IFERROR(VLOOKUP(ProductCost[[#This Row],[Bagging Process]],$W$11:$Y$20,3,FALSE),0)</f>
        <v>0.08</v>
      </c>
      <c r="O54" s="23">
        <f t="shared" si="0"/>
        <v>0</v>
      </c>
      <c r="P54" s="23">
        <f t="shared" si="1"/>
        <v>0.6925</v>
      </c>
      <c r="Q54" s="23">
        <f t="shared" si="2"/>
        <v>1.4583333333333333</v>
      </c>
      <c r="R54" s="227">
        <f t="shared" si="3"/>
        <v>11.480009803921568</v>
      </c>
      <c r="T54" s="96">
        <f t="shared" si="4"/>
        <v>14.81291587602783</v>
      </c>
      <c r="U54" s="114">
        <f t="shared" si="5"/>
        <v>16.700000000000003</v>
      </c>
      <c r="V54" s="4"/>
      <c r="AM54" s="1" t="str">
        <v>VDP Budgie Mix</v>
      </c>
    </row>
    <row r="55" spans="1:39" ht="13.8" x14ac:dyDescent="0.25">
      <c r="A55" s="226" t="s">
        <v>445</v>
      </c>
      <c r="B55" s="13">
        <v>540816</v>
      </c>
      <c r="C55" s="50" t="s">
        <v>278</v>
      </c>
      <c r="D55" s="50" t="s">
        <v>492</v>
      </c>
      <c r="E55" s="13" t="s">
        <v>441</v>
      </c>
      <c r="F55" s="13"/>
      <c r="G55" s="13">
        <v>1.5</v>
      </c>
      <c r="H55" s="13">
        <v>8</v>
      </c>
      <c r="I55" s="49" t="s">
        <v>437</v>
      </c>
      <c r="J55" s="88"/>
      <c r="K55" s="94"/>
      <c r="L55" s="73">
        <f>VLOOKUP(ProductCost[[#This Row],[Mix / Product Name]],'M - All'!$B$100:$D$330,3,FALSE)</f>
        <v>1.014923076923077</v>
      </c>
      <c r="M55" s="19">
        <f>IFERROR(IF(OR(A55="PHF Horse Mixes",A55="Peckish",A55="Hay &amp; Straw",ProductCost[[#This Row],[Bagging Process]]=""),0,$Y$7),0)</f>
        <v>5.5E-2</v>
      </c>
      <c r="N55" s="19">
        <f>IFERROR(VLOOKUP(ProductCost[[#This Row],[Bagging Process]],$W$11:$Y$20,3,FALSE),0)</f>
        <v>0.08</v>
      </c>
      <c r="O55" s="23">
        <f t="shared" si="0"/>
        <v>0</v>
      </c>
      <c r="P55" s="23">
        <f t="shared" si="1"/>
        <v>0.82429999999999992</v>
      </c>
      <c r="Q55" s="23">
        <f t="shared" si="2"/>
        <v>0.10500000000000001</v>
      </c>
      <c r="R55" s="227">
        <f t="shared" si="3"/>
        <v>21.233476923076925</v>
      </c>
      <c r="S55" s="10"/>
      <c r="T55" s="96">
        <f t="shared" si="4"/>
        <v>25.894484052532832</v>
      </c>
      <c r="U55" s="114">
        <f t="shared" si="5"/>
        <v>30.8</v>
      </c>
      <c r="V55" s="4"/>
      <c r="AM55" s="1" t="str">
        <v>VDP Canary Mix</v>
      </c>
    </row>
    <row r="56" spans="1:39" ht="13.8" x14ac:dyDescent="0.25">
      <c r="A56" s="226" t="s">
        <v>445</v>
      </c>
      <c r="B56" s="13">
        <v>546518</v>
      </c>
      <c r="C56" s="50" t="s">
        <v>305</v>
      </c>
      <c r="D56" s="50" t="s">
        <v>492</v>
      </c>
      <c r="E56" s="13" t="s">
        <v>428</v>
      </c>
      <c r="F56" s="13"/>
      <c r="G56" s="13">
        <v>20</v>
      </c>
      <c r="H56" s="13">
        <v>48</v>
      </c>
      <c r="I56" s="49" t="s">
        <v>437</v>
      </c>
      <c r="J56" s="88"/>
      <c r="K56" s="94"/>
      <c r="L56" s="73">
        <f>VLOOKUP(ProductCost[[#This Row],[Mix / Product Name]],'M - All'!$B$100:$D$330,3,FALSE)</f>
        <v>1.014923076923077</v>
      </c>
      <c r="M56" s="19">
        <f>IFERROR(IF(OR(A56="PHF Horse Mixes",A56="Peckish",A56="Hay &amp; Straw",ProductCost[[#This Row],[Bagging Process]]=""),0,$Y$7),0)</f>
        <v>5.5E-2</v>
      </c>
      <c r="N56" s="19">
        <f>IFERROR(VLOOKUP(ProductCost[[#This Row],[Bagging Process]],$W$11:$Y$20,3,FALSE),0)</f>
        <v>0.08</v>
      </c>
      <c r="O56" s="23">
        <f t="shared" si="0"/>
        <v>0</v>
      </c>
      <c r="P56" s="23">
        <f t="shared" si="1"/>
        <v>0.6925</v>
      </c>
      <c r="Q56" s="23">
        <f t="shared" si="2"/>
        <v>1.4583333333333333</v>
      </c>
      <c r="R56" s="227">
        <f t="shared" si="3"/>
        <v>25.149294871794876</v>
      </c>
      <c r="S56" s="10"/>
      <c r="T56" s="96">
        <f t="shared" si="4"/>
        <v>30.669871794871796</v>
      </c>
      <c r="U56" s="114">
        <f t="shared" si="5"/>
        <v>36.5</v>
      </c>
      <c r="V56" s="4"/>
      <c r="AM56" s="1" t="str">
        <v>VDP Chook Grain</v>
      </c>
    </row>
    <row r="57" spans="1:39" ht="13.8" x14ac:dyDescent="0.25">
      <c r="A57" s="226" t="s">
        <v>445</v>
      </c>
      <c r="B57" s="13">
        <v>540814</v>
      </c>
      <c r="C57" s="50" t="s">
        <v>273</v>
      </c>
      <c r="D57" s="50" t="s">
        <v>493</v>
      </c>
      <c r="E57" s="13" t="s">
        <v>441</v>
      </c>
      <c r="F57" s="13"/>
      <c r="G57" s="13">
        <v>1.5</v>
      </c>
      <c r="H57" s="13">
        <v>8</v>
      </c>
      <c r="I57" s="49" t="s">
        <v>437</v>
      </c>
      <c r="J57" s="88"/>
      <c r="K57" s="94"/>
      <c r="L57" s="73">
        <f>VLOOKUP(ProductCost[[#This Row],[Mix / Product Name]],'M - All'!$B$100:$D$330,3,FALSE)</f>
        <v>1.2410769230769232</v>
      </c>
      <c r="M57" s="19">
        <f>IFERROR(IF(OR(A57="PHF Horse Mixes",A57="Peckish",A57="Hay &amp; Straw",ProductCost[[#This Row],[Bagging Process]]=""),0,$Y$7),0)</f>
        <v>5.5E-2</v>
      </c>
      <c r="N57" s="19">
        <f>IFERROR(VLOOKUP(ProductCost[[#This Row],[Bagging Process]],$W$11:$Y$20,3,FALSE),0)</f>
        <v>0.08</v>
      </c>
      <c r="O57" s="23">
        <f t="shared" si="0"/>
        <v>0</v>
      </c>
      <c r="P57" s="23">
        <f t="shared" si="1"/>
        <v>0.82429999999999992</v>
      </c>
      <c r="Q57" s="23">
        <f t="shared" si="2"/>
        <v>0.10500000000000001</v>
      </c>
      <c r="R57" s="227">
        <f t="shared" si="3"/>
        <v>23.94732307692308</v>
      </c>
      <c r="S57" s="10"/>
      <c r="T57" s="96">
        <f t="shared" si="4"/>
        <v>29.204052532833021</v>
      </c>
      <c r="U57" s="114">
        <f t="shared" si="5"/>
        <v>34.800000000000004</v>
      </c>
      <c r="V57" s="4"/>
      <c r="AM57" s="1" t="str">
        <v>VDP Finch</v>
      </c>
    </row>
    <row r="58" spans="1:39" ht="13.8" x14ac:dyDescent="0.25">
      <c r="A58" s="226" t="s">
        <v>445</v>
      </c>
      <c r="B58" s="13">
        <v>546523</v>
      </c>
      <c r="C58" s="50" t="s">
        <v>307</v>
      </c>
      <c r="D58" s="50" t="s">
        <v>493</v>
      </c>
      <c r="E58" s="13" t="s">
        <v>428</v>
      </c>
      <c r="F58" s="13"/>
      <c r="G58" s="13">
        <v>20</v>
      </c>
      <c r="H58" s="13">
        <v>48</v>
      </c>
      <c r="I58" s="49" t="s">
        <v>437</v>
      </c>
      <c r="J58" s="88"/>
      <c r="K58" s="94"/>
      <c r="L58" s="73">
        <f>VLOOKUP(ProductCost[[#This Row],[Mix / Product Name]],'M - All'!$B$100:$D$330,3,FALSE)</f>
        <v>1.2410769230769232</v>
      </c>
      <c r="M58" s="19">
        <f>IFERROR(IF(OR(A58="PHF Horse Mixes",A58="Peckish",A58="Hay &amp; Straw",ProductCost[[#This Row],[Bagging Process]]=""),0,$Y$7),0)</f>
        <v>5.5E-2</v>
      </c>
      <c r="N58" s="19">
        <f>IFERROR(VLOOKUP(ProductCost[[#This Row],[Bagging Process]],$W$11:$Y$20,3,FALSE),0)</f>
        <v>0.08</v>
      </c>
      <c r="O58" s="23">
        <f t="shared" si="0"/>
        <v>0</v>
      </c>
      <c r="P58" s="23">
        <f t="shared" si="1"/>
        <v>0.6925</v>
      </c>
      <c r="Q58" s="23">
        <f t="shared" si="2"/>
        <v>1.4583333333333333</v>
      </c>
      <c r="R58" s="227">
        <f t="shared" si="3"/>
        <v>29.672371794871797</v>
      </c>
      <c r="S58" s="10"/>
      <c r="T58" s="96">
        <f t="shared" si="4"/>
        <v>36.185819262038777</v>
      </c>
      <c r="U58" s="114">
        <f t="shared" si="5"/>
        <v>43.1</v>
      </c>
      <c r="V58" s="4"/>
      <c r="AM58" s="1" t="str">
        <v>VDP Lovebird</v>
      </c>
    </row>
    <row r="59" spans="1:39" ht="13.8" x14ac:dyDescent="0.25">
      <c r="A59" s="226" t="s">
        <v>445</v>
      </c>
      <c r="B59" s="13">
        <v>540817</v>
      </c>
      <c r="C59" s="50" t="s">
        <v>280</v>
      </c>
      <c r="D59" s="50" t="s">
        <v>494</v>
      </c>
      <c r="E59" s="13" t="s">
        <v>441</v>
      </c>
      <c r="F59" s="13"/>
      <c r="G59" s="13">
        <v>1.5</v>
      </c>
      <c r="H59" s="13">
        <v>8</v>
      </c>
      <c r="I59" s="49" t="s">
        <v>437</v>
      </c>
      <c r="J59" s="88"/>
      <c r="K59" s="94"/>
      <c r="L59" s="73">
        <f>VLOOKUP(ProductCost[[#This Row],[Mix / Product Name]],'M - All'!$B$100:$D$330,3,FALSE)</f>
        <v>0.6321472868217054</v>
      </c>
      <c r="M59" s="19">
        <f>IFERROR(IF(OR(A59="PHF Horse Mixes",A59="Peckish",A59="Hay &amp; Straw",ProductCost[[#This Row],[Bagging Process]]=""),0,$Y$7),0)</f>
        <v>5.5E-2</v>
      </c>
      <c r="N59" s="19">
        <f>IFERROR(VLOOKUP(ProductCost[[#This Row],[Bagging Process]],$W$11:$Y$20,3,FALSE),0)</f>
        <v>0.08</v>
      </c>
      <c r="O59" s="23">
        <f t="shared" si="0"/>
        <v>0</v>
      </c>
      <c r="P59" s="23">
        <f t="shared" si="1"/>
        <v>0.82429999999999992</v>
      </c>
      <c r="Q59" s="23">
        <f t="shared" si="2"/>
        <v>0.10500000000000001</v>
      </c>
      <c r="R59" s="227">
        <f t="shared" si="3"/>
        <v>16.640167441860463</v>
      </c>
      <c r="S59" s="10"/>
      <c r="T59" s="96">
        <f t="shared" si="4"/>
        <v>20.292887124220076</v>
      </c>
      <c r="U59" s="114">
        <f t="shared" si="5"/>
        <v>24.200000000000003</v>
      </c>
      <c r="V59" s="4"/>
      <c r="AM59" s="1" t="str">
        <v>VDP Pigeon</v>
      </c>
    </row>
    <row r="60" spans="1:39" ht="13.8" x14ac:dyDescent="0.25">
      <c r="A60" s="226" t="s">
        <v>445</v>
      </c>
      <c r="B60" s="13">
        <v>546522</v>
      </c>
      <c r="C60" s="50" t="s">
        <v>306</v>
      </c>
      <c r="D60" s="50" t="s">
        <v>494</v>
      </c>
      <c r="E60" s="13" t="s">
        <v>428</v>
      </c>
      <c r="F60" s="13"/>
      <c r="G60" s="13">
        <v>20</v>
      </c>
      <c r="H60" s="13">
        <v>48</v>
      </c>
      <c r="I60" s="49" t="s">
        <v>437</v>
      </c>
      <c r="J60" s="88"/>
      <c r="K60" s="94"/>
      <c r="L60" s="73">
        <f>VLOOKUP(ProductCost[[#This Row],[Mix / Product Name]],'M - All'!$B$100:$D$330,3,FALSE)</f>
        <v>0.6321472868217054</v>
      </c>
      <c r="M60" s="19">
        <f>IFERROR(IF(OR(A60="PHF Horse Mixes",A60="Peckish",A60="Hay &amp; Straw",ProductCost[[#This Row],[Bagging Process]]=""),0,$Y$7),0)</f>
        <v>5.5E-2</v>
      </c>
      <c r="N60" s="19">
        <f>IFERROR(VLOOKUP(ProductCost[[#This Row],[Bagging Process]],$W$11:$Y$20,3,FALSE),0)</f>
        <v>0.08</v>
      </c>
      <c r="O60" s="23">
        <f t="shared" si="0"/>
        <v>0</v>
      </c>
      <c r="P60" s="23">
        <f t="shared" si="1"/>
        <v>0.6925</v>
      </c>
      <c r="Q60" s="23">
        <f t="shared" si="2"/>
        <v>1.4583333333333333</v>
      </c>
      <c r="R60" s="227">
        <f t="shared" si="3"/>
        <v>17.493779069767442</v>
      </c>
      <c r="S60" s="10"/>
      <c r="T60" s="96">
        <f t="shared" si="4"/>
        <v>21.333876914350537</v>
      </c>
      <c r="U60" s="114">
        <f t="shared" si="5"/>
        <v>25.400000000000002</v>
      </c>
      <c r="V60" s="4"/>
      <c r="AM60" s="1" t="str">
        <v>Gold / Cumani Gold / Kendall Race</v>
      </c>
    </row>
    <row r="61" spans="1:39" ht="13.8" x14ac:dyDescent="0.25">
      <c r="A61" s="226" t="s">
        <v>445</v>
      </c>
      <c r="B61" s="13">
        <v>540815</v>
      </c>
      <c r="C61" s="50" t="s">
        <v>276</v>
      </c>
      <c r="D61" s="50" t="s">
        <v>495</v>
      </c>
      <c r="E61" s="13" t="s">
        <v>441</v>
      </c>
      <c r="F61" s="13"/>
      <c r="G61" s="13">
        <v>1.5</v>
      </c>
      <c r="H61" s="13">
        <v>8</v>
      </c>
      <c r="I61" s="49" t="s">
        <v>437</v>
      </c>
      <c r="J61" s="88"/>
      <c r="K61" s="94"/>
      <c r="L61" s="73">
        <f>VLOOKUP(ProductCost[[#This Row],[Mix / Product Name]],'M - All'!$B$100:$D$330,3,FALSE)</f>
        <v>0.60057466216216204</v>
      </c>
      <c r="M61" s="19">
        <f>IFERROR(IF(OR(A61="PHF Horse Mixes",A61="Peckish",A61="Hay &amp; Straw",ProductCost[[#This Row],[Bagging Process]]=""),0,$Y$7),0)</f>
        <v>5.5E-2</v>
      </c>
      <c r="N61" s="19">
        <f>IFERROR(VLOOKUP(ProductCost[[#This Row],[Bagging Process]],$W$11:$Y$20,3,FALSE),0)</f>
        <v>0.08</v>
      </c>
      <c r="O61" s="23">
        <f t="shared" si="0"/>
        <v>0</v>
      </c>
      <c r="P61" s="23">
        <f t="shared" si="1"/>
        <v>0.82429999999999992</v>
      </c>
      <c r="Q61" s="23">
        <f t="shared" si="2"/>
        <v>0.10500000000000001</v>
      </c>
      <c r="R61" s="227">
        <f t="shared" si="3"/>
        <v>16.261295945945943</v>
      </c>
      <c r="S61" s="10"/>
      <c r="T61" s="96">
        <f t="shared" si="4"/>
        <v>19.830848714568223</v>
      </c>
      <c r="U61" s="114">
        <f t="shared" si="5"/>
        <v>23.6</v>
      </c>
      <c r="V61" s="4"/>
      <c r="AM61" s="1" t="str">
        <v>Brown / Cumani Brown</v>
      </c>
    </row>
    <row r="62" spans="1:39" ht="13.8" x14ac:dyDescent="0.25">
      <c r="A62" s="226" t="s">
        <v>445</v>
      </c>
      <c r="B62" s="13">
        <v>546517</v>
      </c>
      <c r="C62" s="50" t="s">
        <v>304</v>
      </c>
      <c r="D62" s="50" t="s">
        <v>495</v>
      </c>
      <c r="E62" s="13" t="s">
        <v>428</v>
      </c>
      <c r="F62" s="13"/>
      <c r="G62" s="13">
        <v>20</v>
      </c>
      <c r="H62" s="13">
        <v>48</v>
      </c>
      <c r="I62" s="49" t="s">
        <v>437</v>
      </c>
      <c r="J62" s="88"/>
      <c r="K62" s="94"/>
      <c r="L62" s="73">
        <f>VLOOKUP(ProductCost[[#This Row],[Mix / Product Name]],'M - All'!$B$100:$D$330,3,FALSE)</f>
        <v>0.60057466216216204</v>
      </c>
      <c r="M62" s="19">
        <f>IFERROR(IF(OR(A62="PHF Horse Mixes",A62="Peckish",A62="Hay &amp; Straw",ProductCost[[#This Row],[Bagging Process]]=""),0,$Y$7),0)</f>
        <v>5.5E-2</v>
      </c>
      <c r="N62" s="19">
        <f>IFERROR(VLOOKUP(ProductCost[[#This Row],[Bagging Process]],$W$11:$Y$20,3,FALSE),0)</f>
        <v>0.08</v>
      </c>
      <c r="O62" s="23">
        <f t="shared" si="0"/>
        <v>0</v>
      </c>
      <c r="P62" s="23">
        <f t="shared" si="1"/>
        <v>0.6925</v>
      </c>
      <c r="Q62" s="23">
        <f t="shared" si="2"/>
        <v>1.4583333333333333</v>
      </c>
      <c r="R62" s="227">
        <f t="shared" si="3"/>
        <v>16.862326576576574</v>
      </c>
      <c r="S62" s="10"/>
      <c r="T62" s="96">
        <f t="shared" si="4"/>
        <v>20.563812898264114</v>
      </c>
      <c r="U62" s="114">
        <f t="shared" si="5"/>
        <v>24.5</v>
      </c>
      <c r="V62" s="4"/>
      <c r="AM62" s="1" t="str">
        <v>Green / Cumani Green</v>
      </c>
    </row>
    <row r="63" spans="1:39" s="59" customFormat="1" ht="13.8" x14ac:dyDescent="0.25">
      <c r="A63" s="226" t="s">
        <v>445</v>
      </c>
      <c r="B63" s="45">
        <v>557862</v>
      </c>
      <c r="C63" s="50" t="s">
        <v>320</v>
      </c>
      <c r="D63" s="50" t="s">
        <v>446</v>
      </c>
      <c r="E63" s="13" t="s">
        <v>428</v>
      </c>
      <c r="F63" s="45"/>
      <c r="G63" s="45">
        <v>20</v>
      </c>
      <c r="H63" s="45">
        <v>48</v>
      </c>
      <c r="I63" s="49" t="s">
        <v>437</v>
      </c>
      <c r="J63" s="45"/>
      <c r="K63" s="123"/>
      <c r="L63" s="73">
        <f>VLOOKUP(ProductCost[[#This Row],[Mix / Product Name]],'M - All'!$B$100:$D$330,3,FALSE)</f>
        <v>1.254904761904762</v>
      </c>
      <c r="M63" s="19">
        <f>IFERROR(IF(OR(A63="PHF Horse Mixes",A63="Peckish",A63="Hay &amp; Straw",ProductCost[[#This Row],[Bagging Process]]=""),0,$Y$7),0)</f>
        <v>5.5E-2</v>
      </c>
      <c r="N63" s="19">
        <f>IFERROR(VLOOKUP(ProductCost[[#This Row],[Bagging Process]],$W$11:$Y$20,3,FALSE),0)</f>
        <v>0.08</v>
      </c>
      <c r="O63" s="23">
        <f t="shared" si="0"/>
        <v>0</v>
      </c>
      <c r="P63" s="23">
        <f t="shared" si="1"/>
        <v>0.6925</v>
      </c>
      <c r="Q63" s="23">
        <f t="shared" si="2"/>
        <v>1.4583333333333333</v>
      </c>
      <c r="R63" s="227">
        <f t="shared" si="3"/>
        <v>29.948928571428574</v>
      </c>
      <c r="T63" s="96">
        <f t="shared" si="4"/>
        <v>36.523083623693381</v>
      </c>
      <c r="U63" s="114">
        <f t="shared" si="5"/>
        <v>43.5</v>
      </c>
      <c r="V63" s="288"/>
      <c r="W63" s="1"/>
      <c r="AF63" s="1"/>
      <c r="AM63" s="59" t="str">
        <v>Blue / Cumani Blue / Un Tie</v>
      </c>
    </row>
    <row r="64" spans="1:39" s="59" customFormat="1" ht="13.8" x14ac:dyDescent="0.25">
      <c r="A64" s="226" t="s">
        <v>445</v>
      </c>
      <c r="B64" s="45">
        <v>557863</v>
      </c>
      <c r="C64" s="50" t="s">
        <v>321</v>
      </c>
      <c r="D64" s="50" t="s">
        <v>450</v>
      </c>
      <c r="E64" s="13" t="s">
        <v>428</v>
      </c>
      <c r="F64" s="45"/>
      <c r="G64" s="45">
        <v>20</v>
      </c>
      <c r="H64" s="45">
        <v>48</v>
      </c>
      <c r="I64" s="49" t="s">
        <v>437</v>
      </c>
      <c r="J64" s="45"/>
      <c r="K64" s="123"/>
      <c r="L64" s="73">
        <f>VLOOKUP(ProductCost[[#This Row],[Mix / Product Name]],'M - All'!$B$100:$D$330,3,FALSE)</f>
        <v>1.2669090909090908</v>
      </c>
      <c r="M64" s="19">
        <f>IFERROR(IF(OR(A64="PHF Horse Mixes",A64="Peckish",A64="Hay &amp; Straw",ProductCost[[#This Row],[Bagging Process]]=""),0,$Y$7),0)</f>
        <v>5.5E-2</v>
      </c>
      <c r="N64" s="19">
        <f>IFERROR(VLOOKUP(ProductCost[[#This Row],[Bagging Process]],$W$11:$Y$20,3,FALSE),0)</f>
        <v>0.08</v>
      </c>
      <c r="O64" s="23">
        <f t="shared" si="0"/>
        <v>0</v>
      </c>
      <c r="P64" s="23">
        <f t="shared" si="1"/>
        <v>0.6925</v>
      </c>
      <c r="Q64" s="23">
        <f t="shared" si="2"/>
        <v>1.4583333333333333</v>
      </c>
      <c r="R64" s="227">
        <f t="shared" si="3"/>
        <v>30.18901515151515</v>
      </c>
      <c r="T64" s="96">
        <f t="shared" si="4"/>
        <v>36.815872135994084</v>
      </c>
      <c r="U64" s="114">
        <f t="shared" si="5"/>
        <v>43.800000000000004</v>
      </c>
      <c r="V64" s="288"/>
      <c r="W64" s="1"/>
      <c r="AF64" s="1"/>
      <c r="AM64" s="59" t="str">
        <v>Grampians Gold</v>
      </c>
    </row>
    <row r="65" spans="1:39" ht="13.8" x14ac:dyDescent="0.25">
      <c r="A65" s="226" t="s">
        <v>439</v>
      </c>
      <c r="B65" s="13">
        <v>563502</v>
      </c>
      <c r="C65" s="50" t="s">
        <v>323</v>
      </c>
      <c r="D65" s="50" t="s">
        <v>496</v>
      </c>
      <c r="E65" s="13" t="s">
        <v>428</v>
      </c>
      <c r="F65" s="13" t="s">
        <v>429</v>
      </c>
      <c r="G65" s="13">
        <v>20</v>
      </c>
      <c r="H65" s="13">
        <v>48</v>
      </c>
      <c r="I65" s="49" t="s">
        <v>439</v>
      </c>
      <c r="J65" s="88"/>
      <c r="K65" s="94"/>
      <c r="L65" s="73">
        <f>VLOOKUP(ProductCost[[#This Row],[Mix / Product Name]],'M - All'!$B$100:$D$330,3,FALSE)</f>
        <v>0.78319649999999996</v>
      </c>
      <c r="M65" s="19">
        <f>IFERROR(IF(OR(A65="PHF Horse Mixes",A65="Peckish",A65="Hay &amp; Straw",ProductCost[[#This Row],[Bagging Process]]=""),0,$Y$7),0)</f>
        <v>0</v>
      </c>
      <c r="N65" s="19">
        <f>IFERROR(VLOOKUP(ProductCost[[#This Row],[Bagging Process]],$W$11:$Y$20,3,FALSE),0)</f>
        <v>8.5000000000000006E-2</v>
      </c>
      <c r="O65" s="23">
        <f t="shared" si="0"/>
        <v>0</v>
      </c>
      <c r="P65" s="23">
        <f t="shared" si="1"/>
        <v>6.25E-2</v>
      </c>
      <c r="Q65" s="23">
        <f t="shared" si="2"/>
        <v>1.4583333333333333</v>
      </c>
      <c r="R65" s="227">
        <f t="shared" si="3"/>
        <v>18.884763333333332</v>
      </c>
      <c r="T65" s="96" t="str">
        <f t="shared" si="4"/>
        <v>n/a</v>
      </c>
      <c r="U65" s="114">
        <f t="shared" si="5"/>
        <v>23.700000000000003</v>
      </c>
      <c r="V65" s="4"/>
      <c r="AM65" s="1" t="str">
        <v>Grampians Brown</v>
      </c>
    </row>
    <row r="66" spans="1:39" ht="13.8" x14ac:dyDescent="0.25">
      <c r="A66" s="226" t="s">
        <v>439</v>
      </c>
      <c r="B66" s="13">
        <v>563503</v>
      </c>
      <c r="C66" s="50" t="s">
        <v>324</v>
      </c>
      <c r="D66" s="50" t="s">
        <v>497</v>
      </c>
      <c r="E66" s="13" t="s">
        <v>428</v>
      </c>
      <c r="F66" s="13" t="s">
        <v>429</v>
      </c>
      <c r="G66" s="13">
        <v>20</v>
      </c>
      <c r="H66" s="13">
        <v>48</v>
      </c>
      <c r="I66" s="49" t="s">
        <v>439</v>
      </c>
      <c r="J66" s="88"/>
      <c r="K66" s="94"/>
      <c r="L66" s="73">
        <f>VLOOKUP(ProductCost[[#This Row],[Mix / Product Name]],'M - All'!$B$100:$D$330,3,FALSE)</f>
        <v>0.85643935606439359</v>
      </c>
      <c r="M66" s="19">
        <f>IFERROR(IF(OR(A66="PHF Horse Mixes",A66="Peckish",A66="Hay &amp; Straw",ProductCost[[#This Row],[Bagging Process]]=""),0,$Y$7),0)</f>
        <v>0</v>
      </c>
      <c r="N66" s="19">
        <f>IFERROR(VLOOKUP(ProductCost[[#This Row],[Bagging Process]],$W$11:$Y$20,3,FALSE),0)</f>
        <v>8.5000000000000006E-2</v>
      </c>
      <c r="O66" s="23">
        <f t="shared" si="0"/>
        <v>0</v>
      </c>
      <c r="P66" s="23">
        <f t="shared" si="1"/>
        <v>6.25E-2</v>
      </c>
      <c r="Q66" s="23">
        <f t="shared" si="2"/>
        <v>1.4583333333333333</v>
      </c>
      <c r="R66" s="227">
        <f t="shared" si="3"/>
        <v>20.349620454621203</v>
      </c>
      <c r="T66" s="96" t="str">
        <f t="shared" si="4"/>
        <v>n/a</v>
      </c>
      <c r="U66" s="114">
        <f t="shared" si="5"/>
        <v>25.5</v>
      </c>
      <c r="V66" s="4"/>
      <c r="AM66" s="1" t="str">
        <v>Grampians Green</v>
      </c>
    </row>
    <row r="67" spans="1:39" ht="13.8" x14ac:dyDescent="0.25">
      <c r="A67" s="226" t="s">
        <v>439</v>
      </c>
      <c r="B67" s="13">
        <v>563504</v>
      </c>
      <c r="C67" s="50" t="s">
        <v>325</v>
      </c>
      <c r="D67" s="50" t="s">
        <v>498</v>
      </c>
      <c r="E67" s="13" t="s">
        <v>428</v>
      </c>
      <c r="F67" s="13" t="s">
        <v>429</v>
      </c>
      <c r="G67" s="13">
        <v>20</v>
      </c>
      <c r="H67" s="13">
        <v>48</v>
      </c>
      <c r="I67" s="49" t="s">
        <v>439</v>
      </c>
      <c r="J67" s="88"/>
      <c r="K67" s="94"/>
      <c r="L67" s="73">
        <f>VLOOKUP(ProductCost[[#This Row],[Mix / Product Name]],'M - All'!$B$100:$D$330,3,FALSE)</f>
        <v>0.74367249999999996</v>
      </c>
      <c r="M67" s="19">
        <f>IFERROR(IF(OR(A67="PHF Horse Mixes",A67="Peckish",A67="Hay &amp; Straw",ProductCost[[#This Row],[Bagging Process]]=""),0,$Y$7),0)</f>
        <v>0</v>
      </c>
      <c r="N67" s="19">
        <f>IFERROR(VLOOKUP(ProductCost[[#This Row],[Bagging Process]],$W$11:$Y$20,3,FALSE),0)</f>
        <v>8.5000000000000006E-2</v>
      </c>
      <c r="O67" s="23">
        <f t="shared" si="0"/>
        <v>0</v>
      </c>
      <c r="P67" s="23">
        <f t="shared" si="1"/>
        <v>6.25E-2</v>
      </c>
      <c r="Q67" s="23">
        <f t="shared" si="2"/>
        <v>1.4583333333333333</v>
      </c>
      <c r="R67" s="227">
        <f t="shared" si="3"/>
        <v>18.09428333333333</v>
      </c>
      <c r="T67" s="96" t="str">
        <f t="shared" si="4"/>
        <v>n/a</v>
      </c>
      <c r="U67" s="114">
        <f t="shared" si="5"/>
        <v>22.700000000000003</v>
      </c>
      <c r="V67" s="4"/>
      <c r="AM67" s="1" t="str">
        <v>McEvoy Race</v>
      </c>
    </row>
    <row r="68" spans="1:39" ht="13.8" x14ac:dyDescent="0.25">
      <c r="A68" s="226" t="s">
        <v>439</v>
      </c>
      <c r="B68" s="13">
        <v>564048</v>
      </c>
      <c r="C68" s="50" t="s">
        <v>327</v>
      </c>
      <c r="D68" s="50" t="s">
        <v>499</v>
      </c>
      <c r="E68" s="13" t="s">
        <v>428</v>
      </c>
      <c r="F68" s="13" t="s">
        <v>429</v>
      </c>
      <c r="G68" s="13">
        <v>20</v>
      </c>
      <c r="H68" s="13">
        <v>48</v>
      </c>
      <c r="I68" s="49" t="s">
        <v>439</v>
      </c>
      <c r="J68" s="88"/>
      <c r="K68" s="94"/>
      <c r="L68" s="73">
        <f>VLOOKUP(ProductCost[[#This Row],[Mix / Product Name]],'M - All'!$B$100:$D$330,3,FALSE)</f>
        <v>0.88812410501193328</v>
      </c>
      <c r="M68" s="19">
        <f>IFERROR(IF(OR(A68="PHF Horse Mixes",A68="Peckish",A68="Hay &amp; Straw",ProductCost[[#This Row],[Bagging Process]]=""),0,$Y$7),0)</f>
        <v>0</v>
      </c>
      <c r="N68" s="19">
        <f>IFERROR(VLOOKUP(ProductCost[[#This Row],[Bagging Process]],$W$11:$Y$20,3,FALSE),0)</f>
        <v>8.5000000000000006E-2</v>
      </c>
      <c r="O68" s="23">
        <f t="shared" si="0"/>
        <v>0</v>
      </c>
      <c r="P68" s="23">
        <f t="shared" si="1"/>
        <v>6.25E-2</v>
      </c>
      <c r="Q68" s="23">
        <f t="shared" si="2"/>
        <v>1.4583333333333333</v>
      </c>
      <c r="R68" s="227">
        <f t="shared" si="3"/>
        <v>20.983315433571999</v>
      </c>
      <c r="T68" s="96" t="str">
        <f t="shared" si="4"/>
        <v>n/a</v>
      </c>
      <c r="U68" s="114">
        <f t="shared" si="5"/>
        <v>26.3</v>
      </c>
      <c r="V68" s="4"/>
      <c r="AM68" s="1" t="str">
        <v>McEvoy AM / First Feed</v>
      </c>
    </row>
    <row r="69" spans="1:39" ht="13.8" x14ac:dyDescent="0.25">
      <c r="A69" s="226" t="s">
        <v>439</v>
      </c>
      <c r="B69" s="13">
        <v>564049</v>
      </c>
      <c r="C69" s="50" t="s">
        <v>328</v>
      </c>
      <c r="D69" s="50" t="s">
        <v>499</v>
      </c>
      <c r="E69" s="13" t="s">
        <v>435</v>
      </c>
      <c r="F69" s="13"/>
      <c r="G69" s="13">
        <v>1000</v>
      </c>
      <c r="H69" s="13">
        <v>1</v>
      </c>
      <c r="I69" s="49" t="s">
        <v>439</v>
      </c>
      <c r="J69" s="88"/>
      <c r="K69" s="94"/>
      <c r="L69" s="73">
        <f>VLOOKUP(ProductCost[[#This Row],[Mix / Product Name]],'M - All'!$B$100:$D$330,3,FALSE)</f>
        <v>0.88812410501193328</v>
      </c>
      <c r="M69" s="19">
        <f>IFERROR(IF(OR(A69="PHF Horse Mixes",A69="Peckish",A69="Hay &amp; Straw",ProductCost[[#This Row],[Bagging Process]]=""),0,$Y$7),0)</f>
        <v>0</v>
      </c>
      <c r="N69" s="19">
        <f>IFERROR(VLOOKUP(ProductCost[[#This Row],[Bagging Process]],$W$11:$Y$20,3,FALSE),0)</f>
        <v>8.5000000000000006E-2</v>
      </c>
      <c r="O69" s="23">
        <f t="shared" ref="O69:O132" si="6">IF(ISNUMBER(SEARCH("Cracked",C69)),$Y$8,0)</f>
        <v>0</v>
      </c>
      <c r="P69" s="23">
        <f t="shared" ref="P69:P132" si="7">IF(A69="Peckish",$X$28,IF(E69="1.5 kg",$X$27,IF(F69= "No bag",0,IF(E69="Standard",$X$24,$X$25/G69)+IF(F69="Yes",-$X$26,0))))</f>
        <v>1.72E-2</v>
      </c>
      <c r="Q69" s="23">
        <f t="shared" ref="Q69:Q132" si="8">IF(A69="Peckish",$X$36/H69,IF(A69="Hay &amp; Straw",$X$37/H69,IF(OR(E69="Standard",E69="Per Unit"),$X$35/H69,IF(E69="Bulka",$X$35/G69,$X$35/1000*G69))))</f>
        <v>7.0000000000000007E-2</v>
      </c>
      <c r="R69" s="227">
        <f t="shared" ref="R69:R132" si="9">IF(E69="Standard",SUM(L69:O69)*G69+SUM(P69:Q69),IF(OR(E69="Bulka",E69="Per Unit"),SUM(L69:Q69),(SUM(L69:O69)*G69+SUM(P69:Q69))*8))</f>
        <v>1.0603241050119332</v>
      </c>
      <c r="T69" s="96" t="str">
        <f t="shared" ref="T69:T132" si="10">IFERROR(IF(J69="",R69/(1-VLOOKUP(A69,$AA$7:$AC$21,2,FALSE)),R69/(1-J69)),"n/a")</f>
        <v>n/a</v>
      </c>
      <c r="U69" s="114">
        <f t="shared" ref="U69:U132" si="11">IFERROR(IF(AND(A69="Straight Grain",E69="Bulka"),ROUNDUP(IF(K69="",R69/(1-VLOOKUP(A69,$AA$7:$AC$21,3,FALSE)),R69/(1-K69)),2),ROUNDUP(IF(K69="",R69/(1-VLOOKUP(A69,$AA$7:$AC$21,3,FALSE)),R69/(1-K69)),1)),"n/a")</f>
        <v>1.4000000000000001</v>
      </c>
      <c r="V69" s="4"/>
      <c r="AM69" s="1" t="str">
        <v>IRT Oat</v>
      </c>
    </row>
    <row r="70" spans="1:39" ht="13.8" x14ac:dyDescent="0.25">
      <c r="A70" s="226" t="s">
        <v>439</v>
      </c>
      <c r="B70" s="13">
        <v>564050</v>
      </c>
      <c r="C70" s="50" t="s">
        <v>329</v>
      </c>
      <c r="D70" s="50" t="s">
        <v>500</v>
      </c>
      <c r="E70" s="13" t="s">
        <v>428</v>
      </c>
      <c r="F70" s="13" t="s">
        <v>429</v>
      </c>
      <c r="G70" s="13">
        <v>20</v>
      </c>
      <c r="H70" s="13">
        <v>48</v>
      </c>
      <c r="I70" s="49" t="s">
        <v>439</v>
      </c>
      <c r="J70" s="88"/>
      <c r="K70" s="94"/>
      <c r="L70" s="73">
        <f>VLOOKUP(ProductCost[[#This Row],[Mix / Product Name]],'M - All'!$B$100:$D$330,3,FALSE)</f>
        <v>0.90363681592039813</v>
      </c>
      <c r="M70" s="19">
        <f>IFERROR(IF(OR(A70="PHF Horse Mixes",A70="Peckish",A70="Hay &amp; Straw",ProductCost[[#This Row],[Bagging Process]]=""),0,$Y$7),0)</f>
        <v>0</v>
      </c>
      <c r="N70" s="19">
        <f>IFERROR(VLOOKUP(ProductCost[[#This Row],[Bagging Process]],$W$11:$Y$20,3,FALSE),0)</f>
        <v>8.5000000000000006E-2</v>
      </c>
      <c r="O70" s="23">
        <f t="shared" si="6"/>
        <v>0</v>
      </c>
      <c r="P70" s="23">
        <f t="shared" si="7"/>
        <v>6.25E-2</v>
      </c>
      <c r="Q70" s="23">
        <f t="shared" si="8"/>
        <v>1.4583333333333333</v>
      </c>
      <c r="R70" s="227">
        <f t="shared" si="9"/>
        <v>21.293569651741294</v>
      </c>
      <c r="T70" s="96" t="str">
        <f t="shared" si="10"/>
        <v>n/a</v>
      </c>
      <c r="U70" s="114">
        <f t="shared" si="11"/>
        <v>26.700000000000003</v>
      </c>
      <c r="V70" s="4"/>
      <c r="AL70" s="7"/>
      <c r="AM70" s="1" t="str">
        <v>IRT Non Oat</v>
      </c>
    </row>
    <row r="71" spans="1:39" ht="13.8" x14ac:dyDescent="0.25">
      <c r="A71" s="226" t="s">
        <v>439</v>
      </c>
      <c r="B71" s="13">
        <v>564051</v>
      </c>
      <c r="C71" s="50" t="s">
        <v>330</v>
      </c>
      <c r="D71" s="50" t="s">
        <v>500</v>
      </c>
      <c r="E71" s="13" t="s">
        <v>435</v>
      </c>
      <c r="F71" s="13"/>
      <c r="G71" s="13">
        <v>1000</v>
      </c>
      <c r="H71" s="13">
        <v>1</v>
      </c>
      <c r="I71" s="49" t="s">
        <v>439</v>
      </c>
      <c r="J71" s="88"/>
      <c r="K71" s="94"/>
      <c r="L71" s="73">
        <f>VLOOKUP(ProductCost[[#This Row],[Mix / Product Name]],'M - All'!$B$100:$D$330,3,FALSE)</f>
        <v>0.90363681592039813</v>
      </c>
      <c r="M71" s="19">
        <f>IFERROR(IF(OR(A71="PHF Horse Mixes",A71="Peckish",A71="Hay &amp; Straw",ProductCost[[#This Row],[Bagging Process]]=""),0,$Y$7),0)</f>
        <v>0</v>
      </c>
      <c r="N71" s="19">
        <f>IFERROR(VLOOKUP(ProductCost[[#This Row],[Bagging Process]],$W$11:$Y$20,3,FALSE),0)</f>
        <v>8.5000000000000006E-2</v>
      </c>
      <c r="O71" s="23">
        <f t="shared" si="6"/>
        <v>0</v>
      </c>
      <c r="P71" s="23">
        <f t="shared" si="7"/>
        <v>1.72E-2</v>
      </c>
      <c r="Q71" s="23">
        <f t="shared" si="8"/>
        <v>7.0000000000000007E-2</v>
      </c>
      <c r="R71" s="227">
        <f t="shared" si="9"/>
        <v>1.0758368159203981</v>
      </c>
      <c r="T71" s="96" t="str">
        <f t="shared" si="10"/>
        <v>n/a</v>
      </c>
      <c r="U71" s="114">
        <f t="shared" si="11"/>
        <v>1.4000000000000001</v>
      </c>
      <c r="V71" s="4"/>
      <c r="AM71" s="1" t="str">
        <v>IRT Sweetfeed</v>
      </c>
    </row>
    <row r="72" spans="1:39" ht="13.8" x14ac:dyDescent="0.25">
      <c r="A72" s="226" t="s">
        <v>439</v>
      </c>
      <c r="B72" s="13">
        <v>564052</v>
      </c>
      <c r="C72" s="50" t="s">
        <v>331</v>
      </c>
      <c r="D72" s="50" t="s">
        <v>501</v>
      </c>
      <c r="E72" s="13" t="s">
        <v>428</v>
      </c>
      <c r="F72" s="13" t="s">
        <v>429</v>
      </c>
      <c r="G72" s="13">
        <v>20</v>
      </c>
      <c r="H72" s="13">
        <v>48</v>
      </c>
      <c r="I72" s="49" t="s">
        <v>439</v>
      </c>
      <c r="J72" s="88"/>
      <c r="K72" s="94"/>
      <c r="L72" s="73">
        <f>VLOOKUP(ProductCost[[#This Row],[Mix / Product Name]],'M - All'!$B$100:$D$330,3,FALSE)</f>
        <v>0.91082914572864315</v>
      </c>
      <c r="M72" s="19">
        <f>IFERROR(IF(OR(A72="PHF Horse Mixes",A72="Peckish",A72="Hay &amp; Straw",ProductCost[[#This Row],[Bagging Process]]=""),0,$Y$7),0)</f>
        <v>0</v>
      </c>
      <c r="N72" s="19">
        <f>IFERROR(VLOOKUP(ProductCost[[#This Row],[Bagging Process]],$W$11:$Y$20,3,FALSE),0)</f>
        <v>8.5000000000000006E-2</v>
      </c>
      <c r="O72" s="23">
        <f t="shared" si="6"/>
        <v>0</v>
      </c>
      <c r="P72" s="23">
        <f t="shared" si="7"/>
        <v>6.25E-2</v>
      </c>
      <c r="Q72" s="23">
        <f t="shared" si="8"/>
        <v>1.4583333333333333</v>
      </c>
      <c r="R72" s="227">
        <f t="shared" si="9"/>
        <v>21.437416247906196</v>
      </c>
      <c r="T72" s="96" t="str">
        <f t="shared" si="10"/>
        <v>n/a</v>
      </c>
      <c r="U72" s="114">
        <f t="shared" si="11"/>
        <v>26.8</v>
      </c>
      <c r="V72" s="4"/>
      <c r="AM72" s="1" t="str">
        <v>McGuigan / O'Farrell No Oat / Pateman</v>
      </c>
    </row>
    <row r="73" spans="1:39" ht="13.8" x14ac:dyDescent="0.25">
      <c r="A73" s="226" t="s">
        <v>439</v>
      </c>
      <c r="B73" s="13">
        <v>564053</v>
      </c>
      <c r="C73" s="50" t="s">
        <v>332</v>
      </c>
      <c r="D73" s="50" t="s">
        <v>501</v>
      </c>
      <c r="E73" s="13" t="s">
        <v>435</v>
      </c>
      <c r="F73" s="13"/>
      <c r="G73" s="13">
        <v>1000</v>
      </c>
      <c r="H73" s="13">
        <v>1</v>
      </c>
      <c r="I73" s="49" t="s">
        <v>439</v>
      </c>
      <c r="J73" s="88"/>
      <c r="K73" s="94"/>
      <c r="L73" s="73">
        <f>VLOOKUP(ProductCost[[#This Row],[Mix / Product Name]],'M - All'!$B$100:$D$330,3,FALSE)</f>
        <v>0.91082914572864315</v>
      </c>
      <c r="M73" s="19">
        <f>IFERROR(IF(OR(A73="PHF Horse Mixes",A73="Peckish",A73="Hay &amp; Straw",ProductCost[[#This Row],[Bagging Process]]=""),0,$Y$7),0)</f>
        <v>0</v>
      </c>
      <c r="N73" s="19">
        <f>IFERROR(VLOOKUP(ProductCost[[#This Row],[Bagging Process]],$W$11:$Y$20,3,FALSE),0)</f>
        <v>8.5000000000000006E-2</v>
      </c>
      <c r="O73" s="23">
        <f t="shared" si="6"/>
        <v>0</v>
      </c>
      <c r="P73" s="23">
        <f t="shared" si="7"/>
        <v>1.72E-2</v>
      </c>
      <c r="Q73" s="23">
        <f t="shared" si="8"/>
        <v>7.0000000000000007E-2</v>
      </c>
      <c r="R73" s="227">
        <f t="shared" si="9"/>
        <v>1.0830291457286432</v>
      </c>
      <c r="T73" s="96" t="str">
        <f t="shared" si="10"/>
        <v>n/a</v>
      </c>
      <c r="U73" s="114">
        <f t="shared" si="11"/>
        <v>1.4000000000000001</v>
      </c>
      <c r="V73" s="4"/>
      <c r="AM73" s="1" t="str">
        <v>Tyler / Work Horse / O'Farrell Pre Train</v>
      </c>
    </row>
    <row r="74" spans="1:39" ht="13.8" x14ac:dyDescent="0.25">
      <c r="A74" s="226" t="s">
        <v>439</v>
      </c>
      <c r="B74" s="13">
        <v>564054</v>
      </c>
      <c r="C74" s="50" t="s">
        <v>333</v>
      </c>
      <c r="D74" s="50" t="s">
        <v>502</v>
      </c>
      <c r="E74" s="13" t="s">
        <v>428</v>
      </c>
      <c r="F74" s="13" t="s">
        <v>429</v>
      </c>
      <c r="G74" s="13">
        <v>20</v>
      </c>
      <c r="H74" s="13">
        <v>48</v>
      </c>
      <c r="I74" s="49" t="s">
        <v>439</v>
      </c>
      <c r="J74" s="88"/>
      <c r="K74" s="94"/>
      <c r="L74" s="73">
        <f>VLOOKUP(ProductCost[[#This Row],[Mix / Product Name]],'M - All'!$B$100:$D$330,3,FALSE)</f>
        <v>1.427597</v>
      </c>
      <c r="M74" s="19">
        <f>IFERROR(IF(OR(A74="PHF Horse Mixes",A74="Peckish",A74="Hay &amp; Straw",ProductCost[[#This Row],[Bagging Process]]=""),0,$Y$7),0)</f>
        <v>0</v>
      </c>
      <c r="N74" s="19">
        <f>IFERROR(VLOOKUP(ProductCost[[#This Row],[Bagging Process]],$W$11:$Y$20,3,FALSE),0)</f>
        <v>8.5000000000000006E-2</v>
      </c>
      <c r="O74" s="23">
        <f t="shared" si="6"/>
        <v>0</v>
      </c>
      <c r="P74" s="23">
        <f t="shared" si="7"/>
        <v>6.25E-2</v>
      </c>
      <c r="Q74" s="23">
        <f t="shared" si="8"/>
        <v>1.4583333333333333</v>
      </c>
      <c r="R74" s="227">
        <f t="shared" si="9"/>
        <v>31.77277333333333</v>
      </c>
      <c r="T74" s="96" t="str">
        <f t="shared" si="10"/>
        <v>n/a</v>
      </c>
      <c r="U74" s="114">
        <f t="shared" si="11"/>
        <v>39.800000000000004</v>
      </c>
      <c r="V74" s="4"/>
      <c r="AM74" s="1" t="str">
        <v>Race Mix</v>
      </c>
    </row>
    <row r="75" spans="1:39" ht="13.8" x14ac:dyDescent="0.25">
      <c r="A75" s="226" t="s">
        <v>439</v>
      </c>
      <c r="B75" s="13">
        <v>564055</v>
      </c>
      <c r="C75" s="50" t="s">
        <v>334</v>
      </c>
      <c r="D75" s="50" t="s">
        <v>502</v>
      </c>
      <c r="E75" s="13" t="s">
        <v>435</v>
      </c>
      <c r="F75" s="13"/>
      <c r="G75" s="13">
        <v>1000</v>
      </c>
      <c r="H75" s="13">
        <v>1</v>
      </c>
      <c r="I75" s="49" t="s">
        <v>439</v>
      </c>
      <c r="J75" s="88"/>
      <c r="K75" s="94"/>
      <c r="L75" s="73">
        <f>VLOOKUP(ProductCost[[#This Row],[Mix / Product Name]],'M - All'!$B$100:$D$330,3,FALSE)</f>
        <v>1.427597</v>
      </c>
      <c r="M75" s="19">
        <f>IFERROR(IF(OR(A75="PHF Horse Mixes",A75="Peckish",A75="Hay &amp; Straw",ProductCost[[#This Row],[Bagging Process]]=""),0,$Y$7),0)</f>
        <v>0</v>
      </c>
      <c r="N75" s="19">
        <f>IFERROR(VLOOKUP(ProductCost[[#This Row],[Bagging Process]],$W$11:$Y$20,3,FALSE),0)</f>
        <v>8.5000000000000006E-2</v>
      </c>
      <c r="O75" s="23">
        <f t="shared" si="6"/>
        <v>0</v>
      </c>
      <c r="P75" s="23">
        <f t="shared" si="7"/>
        <v>1.72E-2</v>
      </c>
      <c r="Q75" s="23">
        <f t="shared" si="8"/>
        <v>7.0000000000000007E-2</v>
      </c>
      <c r="R75" s="227">
        <f t="shared" si="9"/>
        <v>1.5997970000000001</v>
      </c>
      <c r="T75" s="96" t="str">
        <f t="shared" si="10"/>
        <v>n/a</v>
      </c>
      <c r="U75" s="114">
        <f t="shared" si="11"/>
        <v>2</v>
      </c>
      <c r="V75" s="4"/>
      <c r="AM75" s="1" t="str">
        <v>Nigel Filly</v>
      </c>
    </row>
    <row r="76" spans="1:39" ht="13.8" x14ac:dyDescent="0.25">
      <c r="A76" s="226" t="s">
        <v>439</v>
      </c>
      <c r="B76" s="13">
        <v>564056</v>
      </c>
      <c r="C76" s="50" t="s">
        <v>335</v>
      </c>
      <c r="D76" s="50" t="s">
        <v>503</v>
      </c>
      <c r="E76" s="13" t="s">
        <v>428</v>
      </c>
      <c r="F76" s="13" t="s">
        <v>429</v>
      </c>
      <c r="G76" s="13">
        <v>20</v>
      </c>
      <c r="H76" s="13">
        <v>48</v>
      </c>
      <c r="I76" s="49" t="s">
        <v>439</v>
      </c>
      <c r="J76" s="88"/>
      <c r="K76" s="94"/>
      <c r="L76" s="73">
        <f>VLOOKUP(ProductCost[[#This Row],[Mix / Product Name]],'M - All'!$B$100:$D$330,3,FALSE)</f>
        <v>1.0457758892036515</v>
      </c>
      <c r="M76" s="19">
        <f>IFERROR(IF(OR(A76="PHF Horse Mixes",A76="Peckish",A76="Hay &amp; Straw",ProductCost[[#This Row],[Bagging Process]]=""),0,$Y$7),0)</f>
        <v>0</v>
      </c>
      <c r="N76" s="19">
        <f>IFERROR(VLOOKUP(ProductCost[[#This Row],[Bagging Process]],$W$11:$Y$20,3,FALSE),0)</f>
        <v>8.5000000000000006E-2</v>
      </c>
      <c r="O76" s="23">
        <f t="shared" si="6"/>
        <v>0</v>
      </c>
      <c r="P76" s="23">
        <f t="shared" si="7"/>
        <v>6.25E-2</v>
      </c>
      <c r="Q76" s="23">
        <f t="shared" si="8"/>
        <v>1.4583333333333333</v>
      </c>
      <c r="R76" s="227">
        <f t="shared" si="9"/>
        <v>24.13635111740636</v>
      </c>
      <c r="T76" s="96" t="str">
        <f t="shared" si="10"/>
        <v>n/a</v>
      </c>
      <c r="U76" s="114">
        <f t="shared" si="11"/>
        <v>30.200000000000003</v>
      </c>
      <c r="V76" s="4"/>
      <c r="AM76" s="1" t="str">
        <v>PHF Mash</v>
      </c>
    </row>
    <row r="77" spans="1:39" ht="13.8" x14ac:dyDescent="0.25">
      <c r="A77" s="226" t="s">
        <v>439</v>
      </c>
      <c r="B77" s="13">
        <v>564057</v>
      </c>
      <c r="C77" s="50" t="s">
        <v>336</v>
      </c>
      <c r="D77" s="50" t="s">
        <v>503</v>
      </c>
      <c r="E77" s="13" t="s">
        <v>435</v>
      </c>
      <c r="F77" s="13"/>
      <c r="G77" s="13">
        <v>1000</v>
      </c>
      <c r="H77" s="13">
        <v>1</v>
      </c>
      <c r="I77" s="49" t="s">
        <v>439</v>
      </c>
      <c r="J77" s="88"/>
      <c r="K77" s="94"/>
      <c r="L77" s="73">
        <f>VLOOKUP(ProductCost[[#This Row],[Mix / Product Name]],'M - All'!$B$100:$D$330,3,FALSE)</f>
        <v>1.0457758892036515</v>
      </c>
      <c r="M77" s="19">
        <f>IFERROR(IF(OR(A77="PHF Horse Mixes",A77="Peckish",A77="Hay &amp; Straw",ProductCost[[#This Row],[Bagging Process]]=""),0,$Y$7),0)</f>
        <v>0</v>
      </c>
      <c r="N77" s="19">
        <f>IFERROR(VLOOKUP(ProductCost[[#This Row],[Bagging Process]],$W$11:$Y$20,3,FALSE),0)</f>
        <v>8.5000000000000006E-2</v>
      </c>
      <c r="O77" s="23">
        <f t="shared" si="6"/>
        <v>0</v>
      </c>
      <c r="P77" s="23">
        <f t="shared" si="7"/>
        <v>1.72E-2</v>
      </c>
      <c r="Q77" s="23">
        <f t="shared" si="8"/>
        <v>7.0000000000000007E-2</v>
      </c>
      <c r="R77" s="227">
        <f t="shared" si="9"/>
        <v>1.2179758892036516</v>
      </c>
      <c r="T77" s="96" t="str">
        <f t="shared" si="10"/>
        <v>n/a</v>
      </c>
      <c r="U77" s="114">
        <f t="shared" si="11"/>
        <v>1.6</v>
      </c>
      <c r="V77" s="4"/>
      <c r="AM77" s="1" t="str">
        <v>Spelling</v>
      </c>
    </row>
    <row r="78" spans="1:39" ht="13.8" x14ac:dyDescent="0.25">
      <c r="A78" s="226" t="s">
        <v>439</v>
      </c>
      <c r="B78" s="13">
        <v>564058</v>
      </c>
      <c r="C78" s="50" t="s">
        <v>337</v>
      </c>
      <c r="D78" s="50" t="s">
        <v>504</v>
      </c>
      <c r="E78" s="13" t="s">
        <v>428</v>
      </c>
      <c r="F78" s="13" t="s">
        <v>429</v>
      </c>
      <c r="G78" s="13">
        <v>20</v>
      </c>
      <c r="H78" s="13">
        <v>48</v>
      </c>
      <c r="I78" s="49" t="s">
        <v>439</v>
      </c>
      <c r="J78" s="88"/>
      <c r="K78" s="94"/>
      <c r="L78" s="73">
        <f>VLOOKUP(ProductCost[[#This Row],[Mix / Product Name]],'M - All'!$B$100:$D$330,3,FALSE)</f>
        <v>1.0505984174085068</v>
      </c>
      <c r="M78" s="19">
        <f>IFERROR(IF(OR(A78="PHF Horse Mixes",A78="Peckish",A78="Hay &amp; Straw",ProductCost[[#This Row],[Bagging Process]]=""),0,$Y$7),0)</f>
        <v>0</v>
      </c>
      <c r="N78" s="19">
        <f>IFERROR(VLOOKUP(ProductCost[[#This Row],[Bagging Process]],$W$11:$Y$20,3,FALSE),0)</f>
        <v>8.5000000000000006E-2</v>
      </c>
      <c r="O78" s="23">
        <f t="shared" si="6"/>
        <v>0</v>
      </c>
      <c r="P78" s="23">
        <f t="shared" si="7"/>
        <v>6.25E-2</v>
      </c>
      <c r="Q78" s="23">
        <f t="shared" si="8"/>
        <v>1.4583333333333333</v>
      </c>
      <c r="R78" s="227">
        <f t="shared" si="9"/>
        <v>24.232801681503467</v>
      </c>
      <c r="T78" s="96" t="str">
        <f t="shared" si="10"/>
        <v>n/a</v>
      </c>
      <c r="U78" s="114">
        <f t="shared" si="11"/>
        <v>30.3</v>
      </c>
      <c r="V78" s="4"/>
      <c r="AM78" s="1" t="str">
        <v>Drink Up</v>
      </c>
    </row>
    <row r="79" spans="1:39" ht="13.8" x14ac:dyDescent="0.25">
      <c r="A79" s="226" t="s">
        <v>439</v>
      </c>
      <c r="B79" s="13">
        <v>564059</v>
      </c>
      <c r="C79" s="50" t="s">
        <v>338</v>
      </c>
      <c r="D79" s="50" t="s">
        <v>504</v>
      </c>
      <c r="E79" s="13" t="s">
        <v>435</v>
      </c>
      <c r="F79" s="13"/>
      <c r="G79" s="13">
        <v>1000</v>
      </c>
      <c r="H79" s="13">
        <v>1</v>
      </c>
      <c r="I79" s="49" t="s">
        <v>439</v>
      </c>
      <c r="J79" s="88"/>
      <c r="K79" s="94"/>
      <c r="L79" s="73">
        <f>VLOOKUP(ProductCost[[#This Row],[Mix / Product Name]],'M - All'!$B$100:$D$330,3,FALSE)</f>
        <v>1.0505984174085068</v>
      </c>
      <c r="M79" s="19">
        <f>IFERROR(IF(OR(A79="PHF Horse Mixes",A79="Peckish",A79="Hay &amp; Straw",ProductCost[[#This Row],[Bagging Process]]=""),0,$Y$7),0)</f>
        <v>0</v>
      </c>
      <c r="N79" s="19">
        <f>IFERROR(VLOOKUP(ProductCost[[#This Row],[Bagging Process]],$W$11:$Y$20,3,FALSE),0)</f>
        <v>8.5000000000000006E-2</v>
      </c>
      <c r="O79" s="23">
        <f t="shared" si="6"/>
        <v>0</v>
      </c>
      <c r="P79" s="23">
        <f t="shared" si="7"/>
        <v>1.72E-2</v>
      </c>
      <c r="Q79" s="23">
        <f t="shared" si="8"/>
        <v>7.0000000000000007E-2</v>
      </c>
      <c r="R79" s="227">
        <f t="shared" si="9"/>
        <v>1.2227984174085069</v>
      </c>
      <c r="T79" s="96" t="str">
        <f t="shared" si="10"/>
        <v>n/a</v>
      </c>
      <c r="U79" s="114">
        <f t="shared" si="11"/>
        <v>1.6</v>
      </c>
      <c r="V79" s="4"/>
      <c r="AM79" s="1" t="str">
        <v>Old Horse Mix / Aged Care</v>
      </c>
    </row>
    <row r="80" spans="1:39" ht="13.8" x14ac:dyDescent="0.25">
      <c r="A80" s="226" t="s">
        <v>439</v>
      </c>
      <c r="B80" s="13">
        <v>564060</v>
      </c>
      <c r="C80" s="50" t="s">
        <v>339</v>
      </c>
      <c r="D80" s="50" t="s">
        <v>505</v>
      </c>
      <c r="E80" s="13" t="s">
        <v>428</v>
      </c>
      <c r="F80" s="13" t="s">
        <v>429</v>
      </c>
      <c r="G80" s="13">
        <v>20</v>
      </c>
      <c r="H80" s="13">
        <v>48</v>
      </c>
      <c r="I80" s="49" t="s">
        <v>439</v>
      </c>
      <c r="J80" s="88"/>
      <c r="K80" s="94"/>
      <c r="L80" s="73">
        <f>VLOOKUP(ProductCost[[#This Row],[Mix / Product Name]],'M - All'!$B$100:$D$330,3,FALSE)</f>
        <v>1.0592157842157843</v>
      </c>
      <c r="M80" s="19">
        <f>IFERROR(IF(OR(A80="PHF Horse Mixes",A80="Peckish",A80="Hay &amp; Straw",ProductCost[[#This Row],[Bagging Process]]=""),0,$Y$7),0)</f>
        <v>0</v>
      </c>
      <c r="N80" s="19">
        <f>IFERROR(VLOOKUP(ProductCost[[#This Row],[Bagging Process]],$W$11:$Y$20,3,FALSE),0)</f>
        <v>8.5000000000000006E-2</v>
      </c>
      <c r="O80" s="23">
        <f t="shared" si="6"/>
        <v>0</v>
      </c>
      <c r="P80" s="23">
        <f t="shared" si="7"/>
        <v>6.25E-2</v>
      </c>
      <c r="Q80" s="23">
        <f t="shared" si="8"/>
        <v>1.4583333333333333</v>
      </c>
      <c r="R80" s="227">
        <f t="shared" si="9"/>
        <v>24.40514901764902</v>
      </c>
      <c r="T80" s="96" t="str">
        <f t="shared" si="10"/>
        <v>n/a</v>
      </c>
      <c r="U80" s="114">
        <f t="shared" si="11"/>
        <v>30.6</v>
      </c>
      <c r="V80" s="4"/>
      <c r="AM80" s="1" t="str">
        <v>EMS Mix</v>
      </c>
    </row>
    <row r="81" spans="1:39" ht="13.8" x14ac:dyDescent="0.25">
      <c r="A81" s="226" t="s">
        <v>439</v>
      </c>
      <c r="B81" s="13">
        <v>564061</v>
      </c>
      <c r="C81" s="50" t="s">
        <v>340</v>
      </c>
      <c r="D81" s="50" t="s">
        <v>505</v>
      </c>
      <c r="E81" s="13" t="s">
        <v>435</v>
      </c>
      <c r="F81" s="13"/>
      <c r="G81" s="13">
        <v>1000</v>
      </c>
      <c r="H81" s="13">
        <v>1</v>
      </c>
      <c r="I81" s="49" t="s">
        <v>439</v>
      </c>
      <c r="J81" s="88"/>
      <c r="K81" s="94"/>
      <c r="L81" s="73">
        <f>VLOOKUP(ProductCost[[#This Row],[Mix / Product Name]],'M - All'!$B$100:$D$330,3,FALSE)</f>
        <v>1.0592157842157843</v>
      </c>
      <c r="M81" s="19">
        <f>IFERROR(IF(OR(A81="PHF Horse Mixes",A81="Peckish",A81="Hay &amp; Straw",ProductCost[[#This Row],[Bagging Process]]=""),0,$Y$7),0)</f>
        <v>0</v>
      </c>
      <c r="N81" s="19">
        <f>IFERROR(VLOOKUP(ProductCost[[#This Row],[Bagging Process]],$W$11:$Y$20,3,FALSE),0)</f>
        <v>8.5000000000000006E-2</v>
      </c>
      <c r="O81" s="23">
        <f t="shared" si="6"/>
        <v>0</v>
      </c>
      <c r="P81" s="23">
        <f t="shared" si="7"/>
        <v>1.72E-2</v>
      </c>
      <c r="Q81" s="23">
        <f t="shared" si="8"/>
        <v>7.0000000000000007E-2</v>
      </c>
      <c r="R81" s="227">
        <f t="shared" si="9"/>
        <v>1.2314157842157845</v>
      </c>
      <c r="T81" s="96" t="str">
        <f t="shared" si="10"/>
        <v>n/a</v>
      </c>
      <c r="U81" s="114">
        <f t="shared" si="11"/>
        <v>1.6</v>
      </c>
      <c r="V81" s="4"/>
      <c r="AM81" s="1" t="str">
        <v>Dickson</v>
      </c>
    </row>
    <row r="82" spans="1:39" ht="13.8" x14ac:dyDescent="0.25">
      <c r="A82" s="226" t="s">
        <v>439</v>
      </c>
      <c r="B82" s="13">
        <v>564062</v>
      </c>
      <c r="C82" s="50" t="s">
        <v>341</v>
      </c>
      <c r="D82" s="50" t="s">
        <v>506</v>
      </c>
      <c r="E82" s="13" t="s">
        <v>428</v>
      </c>
      <c r="F82" s="13" t="s">
        <v>429</v>
      </c>
      <c r="G82" s="13">
        <v>15</v>
      </c>
      <c r="H82" s="13">
        <v>66</v>
      </c>
      <c r="I82" s="49" t="s">
        <v>439</v>
      </c>
      <c r="J82" s="88"/>
      <c r="K82" s="94"/>
      <c r="L82" s="73">
        <f>VLOOKUP(ProductCost[[#This Row],[Mix / Product Name]],'M - All'!$B$100:$D$330,3,FALSE)</f>
        <v>0.87259290641871623</v>
      </c>
      <c r="M82" s="19">
        <f>IFERROR(IF(OR(A82="PHF Horse Mixes",A82="Peckish",A82="Hay &amp; Straw",ProductCost[[#This Row],[Bagging Process]]=""),0,$Y$7),0)</f>
        <v>0</v>
      </c>
      <c r="N82" s="19">
        <f>IFERROR(VLOOKUP(ProductCost[[#This Row],[Bagging Process]],$W$11:$Y$20,3,FALSE),0)</f>
        <v>8.5000000000000006E-2</v>
      </c>
      <c r="O82" s="23">
        <f t="shared" si="6"/>
        <v>0</v>
      </c>
      <c r="P82" s="23">
        <f t="shared" si="7"/>
        <v>6.25E-2</v>
      </c>
      <c r="Q82" s="23">
        <f t="shared" si="8"/>
        <v>1.0606060606060606</v>
      </c>
      <c r="R82" s="227">
        <f t="shared" si="9"/>
        <v>15.486999656886804</v>
      </c>
      <c r="T82" s="96" t="str">
        <f t="shared" si="10"/>
        <v>n/a</v>
      </c>
      <c r="U82" s="114">
        <f t="shared" si="11"/>
        <v>19.400000000000002</v>
      </c>
      <c r="V82" s="4"/>
      <c r="AM82" s="1" t="str">
        <v>Feek Trial w Chaff</v>
      </c>
    </row>
    <row r="83" spans="1:39" ht="13.8" x14ac:dyDescent="0.25">
      <c r="A83" s="226" t="s">
        <v>439</v>
      </c>
      <c r="B83" s="13">
        <v>564063</v>
      </c>
      <c r="C83" s="50" t="s">
        <v>342</v>
      </c>
      <c r="D83" s="50" t="s">
        <v>506</v>
      </c>
      <c r="E83" s="13" t="s">
        <v>435</v>
      </c>
      <c r="F83" s="13"/>
      <c r="G83" s="13">
        <v>1000</v>
      </c>
      <c r="H83" s="13">
        <v>1</v>
      </c>
      <c r="I83" s="49" t="s">
        <v>439</v>
      </c>
      <c r="J83" s="88"/>
      <c r="K83" s="94"/>
      <c r="L83" s="73">
        <f>VLOOKUP(ProductCost[[#This Row],[Mix / Product Name]],'M - All'!$B$100:$D$330,3,FALSE)</f>
        <v>0.87259290641871623</v>
      </c>
      <c r="M83" s="19">
        <f>IFERROR(IF(OR(A83="PHF Horse Mixes",A83="Peckish",A83="Hay &amp; Straw",ProductCost[[#This Row],[Bagging Process]]=""),0,$Y$7),0)</f>
        <v>0</v>
      </c>
      <c r="N83" s="19">
        <f>IFERROR(VLOOKUP(ProductCost[[#This Row],[Bagging Process]],$W$11:$Y$20,3,FALSE),0)</f>
        <v>8.5000000000000006E-2</v>
      </c>
      <c r="O83" s="23">
        <f t="shared" si="6"/>
        <v>0</v>
      </c>
      <c r="P83" s="23">
        <f t="shared" si="7"/>
        <v>1.72E-2</v>
      </c>
      <c r="Q83" s="23">
        <f t="shared" si="8"/>
        <v>7.0000000000000007E-2</v>
      </c>
      <c r="R83" s="227">
        <f t="shared" si="9"/>
        <v>1.0447929064187162</v>
      </c>
      <c r="T83" s="96" t="str">
        <f t="shared" si="10"/>
        <v>n/a</v>
      </c>
      <c r="U83" s="114">
        <f t="shared" si="11"/>
        <v>1.4000000000000001</v>
      </c>
      <c r="V83" s="4"/>
      <c r="AM83" s="1" t="str">
        <v>Feek Trial</v>
      </c>
    </row>
    <row r="84" spans="1:39" ht="13.8" x14ac:dyDescent="0.25">
      <c r="A84" s="226" t="s">
        <v>439</v>
      </c>
      <c r="B84" s="13">
        <v>564065</v>
      </c>
      <c r="C84" s="50" t="s">
        <v>344</v>
      </c>
      <c r="D84" s="50" t="s">
        <v>507</v>
      </c>
      <c r="E84" s="13" t="s">
        <v>435</v>
      </c>
      <c r="F84" s="13"/>
      <c r="G84" s="13">
        <v>1000</v>
      </c>
      <c r="H84" s="13">
        <v>1</v>
      </c>
      <c r="I84" s="49" t="s">
        <v>439</v>
      </c>
      <c r="J84" s="88"/>
      <c r="K84" s="94"/>
      <c r="L84" s="73">
        <f>VLOOKUP(ProductCost[[#This Row],[Mix / Product Name]],'M - All'!$B$100:$D$330,3,FALSE)</f>
        <v>1.0557413</v>
      </c>
      <c r="M84" s="19">
        <f>IFERROR(IF(OR(A84="PHF Horse Mixes",A84="Peckish",A84="Hay &amp; Straw",ProductCost[[#This Row],[Bagging Process]]=""),0,$Y$7),0)</f>
        <v>0</v>
      </c>
      <c r="N84" s="19">
        <f>IFERROR(VLOOKUP(ProductCost[[#This Row],[Bagging Process]],$W$11:$Y$20,3,FALSE),0)</f>
        <v>8.5000000000000006E-2</v>
      </c>
      <c r="O84" s="23">
        <f t="shared" si="6"/>
        <v>0</v>
      </c>
      <c r="P84" s="23">
        <f t="shared" si="7"/>
        <v>1.72E-2</v>
      </c>
      <c r="Q84" s="23">
        <f t="shared" si="8"/>
        <v>7.0000000000000007E-2</v>
      </c>
      <c r="R84" s="227">
        <f t="shared" si="9"/>
        <v>1.2279413000000001</v>
      </c>
      <c r="T84" s="96" t="str">
        <f t="shared" si="10"/>
        <v>n/a</v>
      </c>
      <c r="U84" s="114">
        <f t="shared" si="11"/>
        <v>1.6</v>
      </c>
      <c r="V84" s="4"/>
      <c r="AM84" s="1" t="str">
        <v>Manning</v>
      </c>
    </row>
    <row r="85" spans="1:39" ht="13.8" x14ac:dyDescent="0.25">
      <c r="A85" s="226" t="s">
        <v>439</v>
      </c>
      <c r="B85" s="13">
        <v>564066</v>
      </c>
      <c r="C85" s="50" t="s">
        <v>345</v>
      </c>
      <c r="D85" s="50" t="s">
        <v>498</v>
      </c>
      <c r="E85" s="13" t="s">
        <v>435</v>
      </c>
      <c r="F85" s="13"/>
      <c r="G85" s="13">
        <v>1000</v>
      </c>
      <c r="H85" s="13">
        <v>1</v>
      </c>
      <c r="I85" s="49" t="s">
        <v>439</v>
      </c>
      <c r="J85" s="88"/>
      <c r="K85" s="94"/>
      <c r="L85" s="73">
        <f>VLOOKUP(ProductCost[[#This Row],[Mix / Product Name]],'M - All'!$B$100:$D$330,3,FALSE)</f>
        <v>0.74367249999999996</v>
      </c>
      <c r="M85" s="19">
        <f>IFERROR(IF(OR(A85="PHF Horse Mixes",A85="Peckish",A85="Hay &amp; Straw",ProductCost[[#This Row],[Bagging Process]]=""),0,$Y$7),0)</f>
        <v>0</v>
      </c>
      <c r="N85" s="19">
        <f>IFERROR(VLOOKUP(ProductCost[[#This Row],[Bagging Process]],$W$11:$Y$20,3,FALSE),0)</f>
        <v>8.5000000000000006E-2</v>
      </c>
      <c r="O85" s="23">
        <f t="shared" si="6"/>
        <v>0</v>
      </c>
      <c r="P85" s="23">
        <f t="shared" si="7"/>
        <v>1.72E-2</v>
      </c>
      <c r="Q85" s="23">
        <f t="shared" si="8"/>
        <v>7.0000000000000007E-2</v>
      </c>
      <c r="R85" s="227">
        <f t="shared" si="9"/>
        <v>0.91587249999999987</v>
      </c>
      <c r="T85" s="96" t="str">
        <f t="shared" si="10"/>
        <v>n/a</v>
      </c>
      <c r="U85" s="114">
        <f t="shared" si="11"/>
        <v>1.2000000000000002</v>
      </c>
      <c r="V85" s="4"/>
      <c r="AM85" s="1" t="str">
        <v>Heyfields Race</v>
      </c>
    </row>
    <row r="86" spans="1:39" ht="13.8" x14ac:dyDescent="0.25">
      <c r="A86" s="226" t="s">
        <v>439</v>
      </c>
      <c r="B86" s="13">
        <v>564067</v>
      </c>
      <c r="C86" s="50" t="s">
        <v>346</v>
      </c>
      <c r="D86" s="50" t="s">
        <v>497</v>
      </c>
      <c r="E86" s="13" t="s">
        <v>435</v>
      </c>
      <c r="F86" s="13"/>
      <c r="G86" s="13">
        <v>1000</v>
      </c>
      <c r="H86" s="13">
        <v>1</v>
      </c>
      <c r="I86" s="49" t="s">
        <v>439</v>
      </c>
      <c r="J86" s="88"/>
      <c r="K86" s="94"/>
      <c r="L86" s="73">
        <f>VLOOKUP(ProductCost[[#This Row],[Mix / Product Name]],'M - All'!$B$100:$D$330,3,FALSE)</f>
        <v>0.85643935606439359</v>
      </c>
      <c r="M86" s="19">
        <f>IFERROR(IF(OR(A86="PHF Horse Mixes",A86="Peckish",A86="Hay &amp; Straw",ProductCost[[#This Row],[Bagging Process]]=""),0,$Y$7),0)</f>
        <v>0</v>
      </c>
      <c r="N86" s="19">
        <f>IFERROR(VLOOKUP(ProductCost[[#This Row],[Bagging Process]],$W$11:$Y$20,3,FALSE),0)</f>
        <v>8.5000000000000006E-2</v>
      </c>
      <c r="O86" s="23">
        <f t="shared" si="6"/>
        <v>0</v>
      </c>
      <c r="P86" s="23">
        <f t="shared" si="7"/>
        <v>1.72E-2</v>
      </c>
      <c r="Q86" s="23">
        <f t="shared" si="8"/>
        <v>7.0000000000000007E-2</v>
      </c>
      <c r="R86" s="227">
        <f t="shared" si="9"/>
        <v>1.0286393560643936</v>
      </c>
      <c r="T86" s="96" t="str">
        <f t="shared" si="10"/>
        <v>n/a</v>
      </c>
      <c r="U86" s="114">
        <f t="shared" si="11"/>
        <v>1.3</v>
      </c>
      <c r="V86" s="4"/>
      <c r="AM86" s="1" t="str">
        <v>Jack Pre Train</v>
      </c>
    </row>
    <row r="87" spans="1:39" ht="13.8" x14ac:dyDescent="0.25">
      <c r="A87" s="226" t="s">
        <v>439</v>
      </c>
      <c r="B87" s="13">
        <v>564068</v>
      </c>
      <c r="C87" s="50" t="s">
        <v>347</v>
      </c>
      <c r="D87" s="50" t="s">
        <v>496</v>
      </c>
      <c r="E87" s="13" t="s">
        <v>435</v>
      </c>
      <c r="F87" s="13"/>
      <c r="G87" s="13">
        <v>1000</v>
      </c>
      <c r="H87" s="13">
        <v>1</v>
      </c>
      <c r="I87" s="49" t="s">
        <v>439</v>
      </c>
      <c r="J87" s="88"/>
      <c r="K87" s="94"/>
      <c r="L87" s="73">
        <f>VLOOKUP(ProductCost[[#This Row],[Mix / Product Name]],'M - All'!$B$100:$D$330,3,FALSE)</f>
        <v>0.78319649999999996</v>
      </c>
      <c r="M87" s="19">
        <f>IFERROR(IF(OR(A87="PHF Horse Mixes",A87="Peckish",A87="Hay &amp; Straw",ProductCost[[#This Row],[Bagging Process]]=""),0,$Y$7),0)</f>
        <v>0</v>
      </c>
      <c r="N87" s="19">
        <f>IFERROR(VLOOKUP(ProductCost[[#This Row],[Bagging Process]],$W$11:$Y$20,3,FALSE),0)</f>
        <v>8.5000000000000006E-2</v>
      </c>
      <c r="O87" s="23">
        <f t="shared" si="6"/>
        <v>0</v>
      </c>
      <c r="P87" s="23">
        <f t="shared" si="7"/>
        <v>1.72E-2</v>
      </c>
      <c r="Q87" s="23">
        <f t="shared" si="8"/>
        <v>7.0000000000000007E-2</v>
      </c>
      <c r="R87" s="227">
        <f t="shared" si="9"/>
        <v>0.95539649999999998</v>
      </c>
      <c r="T87" s="96" t="str">
        <f t="shared" si="10"/>
        <v>n/a</v>
      </c>
      <c r="U87" s="114">
        <f t="shared" si="11"/>
        <v>1.2000000000000002</v>
      </c>
      <c r="V87" s="4"/>
      <c r="AM87" s="1" t="str">
        <v>McEvoy Pre Train</v>
      </c>
    </row>
    <row r="88" spans="1:39" ht="13.8" x14ac:dyDescent="0.25">
      <c r="A88" s="226" t="s">
        <v>439</v>
      </c>
      <c r="B88" s="13">
        <v>564071</v>
      </c>
      <c r="C88" s="50" t="s">
        <v>350</v>
      </c>
      <c r="D88" s="50" t="s">
        <v>508</v>
      </c>
      <c r="E88" s="13" t="s">
        <v>428</v>
      </c>
      <c r="F88" s="13" t="s">
        <v>429</v>
      </c>
      <c r="G88" s="13">
        <v>20</v>
      </c>
      <c r="H88" s="13">
        <v>48</v>
      </c>
      <c r="I88" s="49" t="s">
        <v>439</v>
      </c>
      <c r="J88" s="88"/>
      <c r="K88" s="94"/>
      <c r="L88" s="73">
        <f>VLOOKUP(ProductCost[[#This Row],[Mix / Product Name]],'M - All'!$B$100:$D$330,3,FALSE)</f>
        <v>0.89027512690355326</v>
      </c>
      <c r="M88" s="19">
        <f>IFERROR(IF(OR(A88="PHF Horse Mixes",A88="Peckish",A88="Hay &amp; Straw",ProductCost[[#This Row],[Bagging Process]]=""),0,$Y$7),0)</f>
        <v>0</v>
      </c>
      <c r="N88" s="19">
        <f>IFERROR(VLOOKUP(ProductCost[[#This Row],[Bagging Process]],$W$11:$Y$20,3,FALSE),0)</f>
        <v>8.5000000000000006E-2</v>
      </c>
      <c r="O88" s="23">
        <f t="shared" si="6"/>
        <v>0</v>
      </c>
      <c r="P88" s="23">
        <f t="shared" si="7"/>
        <v>6.25E-2</v>
      </c>
      <c r="Q88" s="23">
        <f t="shared" si="8"/>
        <v>1.4583333333333333</v>
      </c>
      <c r="R88" s="227">
        <f t="shared" si="9"/>
        <v>21.026335871404395</v>
      </c>
      <c r="T88" s="96" t="str">
        <f t="shared" si="10"/>
        <v>n/a</v>
      </c>
      <c r="U88" s="114">
        <f t="shared" si="11"/>
        <v>26.3</v>
      </c>
      <c r="V88" s="4"/>
      <c r="AM88" s="1" t="str">
        <v>Custom - HorseMix</v>
      </c>
    </row>
    <row r="89" spans="1:39" ht="13.8" x14ac:dyDescent="0.25">
      <c r="A89" s="226" t="s">
        <v>439</v>
      </c>
      <c r="B89" s="13">
        <v>564072</v>
      </c>
      <c r="C89" s="50" t="s">
        <v>351</v>
      </c>
      <c r="D89" s="50" t="s">
        <v>508</v>
      </c>
      <c r="E89" s="13" t="s">
        <v>435</v>
      </c>
      <c r="F89" s="13"/>
      <c r="G89" s="13">
        <v>1000</v>
      </c>
      <c r="H89" s="13">
        <v>1</v>
      </c>
      <c r="I89" s="49" t="s">
        <v>439</v>
      </c>
      <c r="J89" s="88"/>
      <c r="K89" s="94"/>
      <c r="L89" s="73">
        <f>VLOOKUP(ProductCost[[#This Row],[Mix / Product Name]],'M - All'!$B$100:$D$330,3,FALSE)</f>
        <v>0.89027512690355326</v>
      </c>
      <c r="M89" s="19">
        <f>IFERROR(IF(OR(A89="PHF Horse Mixes",A89="Peckish",A89="Hay &amp; Straw",ProductCost[[#This Row],[Bagging Process]]=""),0,$Y$7),0)</f>
        <v>0</v>
      </c>
      <c r="N89" s="19">
        <f>IFERROR(VLOOKUP(ProductCost[[#This Row],[Bagging Process]],$W$11:$Y$20,3,FALSE),0)</f>
        <v>8.5000000000000006E-2</v>
      </c>
      <c r="O89" s="23">
        <f t="shared" si="6"/>
        <v>0</v>
      </c>
      <c r="P89" s="23">
        <f t="shared" si="7"/>
        <v>1.72E-2</v>
      </c>
      <c r="Q89" s="23">
        <f t="shared" si="8"/>
        <v>7.0000000000000007E-2</v>
      </c>
      <c r="R89" s="227">
        <f t="shared" si="9"/>
        <v>1.0624751269035533</v>
      </c>
      <c r="T89" s="96" t="str">
        <f t="shared" si="10"/>
        <v>n/a</v>
      </c>
      <c r="U89" s="114">
        <f t="shared" si="11"/>
        <v>1.4000000000000001</v>
      </c>
      <c r="V89" s="4"/>
    </row>
    <row r="90" spans="1:39" ht="13.8" x14ac:dyDescent="0.25">
      <c r="A90" s="226" t="s">
        <v>439</v>
      </c>
      <c r="B90" s="13">
        <v>564073</v>
      </c>
      <c r="C90" s="50" t="s">
        <v>352</v>
      </c>
      <c r="D90" s="50" t="s">
        <v>509</v>
      </c>
      <c r="E90" s="13" t="s">
        <v>428</v>
      </c>
      <c r="F90" s="13" t="s">
        <v>429</v>
      </c>
      <c r="G90" s="13">
        <v>20</v>
      </c>
      <c r="H90" s="13">
        <v>48</v>
      </c>
      <c r="I90" s="49" t="s">
        <v>439</v>
      </c>
      <c r="J90" s="88"/>
      <c r="K90" s="94"/>
      <c r="L90" s="73">
        <f>VLOOKUP(ProductCost[[#This Row],[Mix / Product Name]],'M - All'!$B$100:$D$330,3,FALSE)</f>
        <v>1.01761225</v>
      </c>
      <c r="M90" s="19">
        <f>IFERROR(IF(OR(A90="PHF Horse Mixes",A90="Peckish",A90="Hay &amp; Straw",ProductCost[[#This Row],[Bagging Process]]=""),0,$Y$7),0)</f>
        <v>0</v>
      </c>
      <c r="N90" s="19">
        <f>IFERROR(VLOOKUP(ProductCost[[#This Row],[Bagging Process]],$W$11:$Y$20,3,FALSE),0)</f>
        <v>8.5000000000000006E-2</v>
      </c>
      <c r="O90" s="23">
        <f t="shared" si="6"/>
        <v>0</v>
      </c>
      <c r="P90" s="23">
        <f t="shared" si="7"/>
        <v>6.25E-2</v>
      </c>
      <c r="Q90" s="23">
        <f t="shared" si="8"/>
        <v>1.4583333333333333</v>
      </c>
      <c r="R90" s="227">
        <f t="shared" si="9"/>
        <v>23.573078333333331</v>
      </c>
      <c r="T90" s="96" t="str">
        <f t="shared" si="10"/>
        <v>n/a</v>
      </c>
      <c r="U90" s="114">
        <f t="shared" si="11"/>
        <v>29.5</v>
      </c>
      <c r="V90" s="4"/>
    </row>
    <row r="91" spans="1:39" ht="13.8" x14ac:dyDescent="0.25">
      <c r="A91" s="226" t="s">
        <v>439</v>
      </c>
      <c r="B91" s="13">
        <v>564075</v>
      </c>
      <c r="C91" s="50" t="s">
        <v>353</v>
      </c>
      <c r="D91" s="50" t="s">
        <v>510</v>
      </c>
      <c r="E91" s="13" t="s">
        <v>428</v>
      </c>
      <c r="F91" s="13" t="s">
        <v>429</v>
      </c>
      <c r="G91" s="13">
        <v>20</v>
      </c>
      <c r="H91" s="13">
        <v>48</v>
      </c>
      <c r="I91" s="49" t="s">
        <v>439</v>
      </c>
      <c r="J91" s="88"/>
      <c r="K91" s="94"/>
      <c r="L91" s="73">
        <f>VLOOKUP(ProductCost[[#This Row],[Mix / Product Name]],'M - All'!$B$100:$D$330,3,FALSE)</f>
        <v>0.96711800000000014</v>
      </c>
      <c r="M91" s="19">
        <f>IFERROR(IF(OR(A91="PHF Horse Mixes",A91="Peckish",A91="Hay &amp; Straw",ProductCost[[#This Row],[Bagging Process]]=""),0,$Y$7),0)</f>
        <v>0</v>
      </c>
      <c r="N91" s="19">
        <f>IFERROR(VLOOKUP(ProductCost[[#This Row],[Bagging Process]],$W$11:$Y$20,3,FALSE),0)</f>
        <v>8.5000000000000006E-2</v>
      </c>
      <c r="O91" s="23">
        <f t="shared" si="6"/>
        <v>0</v>
      </c>
      <c r="P91" s="23">
        <f t="shared" si="7"/>
        <v>6.25E-2</v>
      </c>
      <c r="Q91" s="23">
        <f t="shared" si="8"/>
        <v>1.4583333333333333</v>
      </c>
      <c r="R91" s="227">
        <f t="shared" si="9"/>
        <v>22.563193333333334</v>
      </c>
      <c r="T91" s="96" t="str">
        <f t="shared" si="10"/>
        <v>n/a</v>
      </c>
      <c r="U91" s="114">
        <f t="shared" si="11"/>
        <v>28.3</v>
      </c>
      <c r="V91" s="4"/>
    </row>
    <row r="92" spans="1:39" ht="13.8" x14ac:dyDescent="0.25">
      <c r="A92" s="226" t="s">
        <v>439</v>
      </c>
      <c r="B92" s="13">
        <v>564076</v>
      </c>
      <c r="C92" s="50" t="s">
        <v>354</v>
      </c>
      <c r="D92" s="50" t="s">
        <v>510</v>
      </c>
      <c r="E92" s="13" t="s">
        <v>435</v>
      </c>
      <c r="F92" s="13"/>
      <c r="G92" s="13">
        <v>1000</v>
      </c>
      <c r="H92" s="13">
        <v>1</v>
      </c>
      <c r="I92" s="49" t="s">
        <v>439</v>
      </c>
      <c r="J92" s="88"/>
      <c r="K92" s="94"/>
      <c r="L92" s="73">
        <f>VLOOKUP(ProductCost[[#This Row],[Mix / Product Name]],'M - All'!$B$100:$D$330,3,FALSE)</f>
        <v>0.96711800000000014</v>
      </c>
      <c r="M92" s="19">
        <f>IFERROR(IF(OR(A92="PHF Horse Mixes",A92="Peckish",A92="Hay &amp; Straw",ProductCost[[#This Row],[Bagging Process]]=""),0,$Y$7),0)</f>
        <v>0</v>
      </c>
      <c r="N92" s="19">
        <f>IFERROR(VLOOKUP(ProductCost[[#This Row],[Bagging Process]],$W$11:$Y$20,3,FALSE),0)</f>
        <v>8.5000000000000006E-2</v>
      </c>
      <c r="O92" s="23">
        <f t="shared" si="6"/>
        <v>0</v>
      </c>
      <c r="P92" s="23">
        <f t="shared" si="7"/>
        <v>1.72E-2</v>
      </c>
      <c r="Q92" s="23">
        <f t="shared" si="8"/>
        <v>7.0000000000000007E-2</v>
      </c>
      <c r="R92" s="227">
        <f t="shared" si="9"/>
        <v>1.1393180000000003</v>
      </c>
      <c r="T92" s="96" t="str">
        <f t="shared" si="10"/>
        <v>n/a</v>
      </c>
      <c r="U92" s="114">
        <f t="shared" si="11"/>
        <v>1.5</v>
      </c>
      <c r="V92" s="4"/>
    </row>
    <row r="93" spans="1:39" ht="13.8" x14ac:dyDescent="0.25">
      <c r="A93" s="226" t="s">
        <v>439</v>
      </c>
      <c r="B93" s="13">
        <v>564077</v>
      </c>
      <c r="C93" s="50" t="s">
        <v>355</v>
      </c>
      <c r="D93" s="50" t="s">
        <v>511</v>
      </c>
      <c r="E93" s="13" t="s">
        <v>428</v>
      </c>
      <c r="F93" s="13" t="s">
        <v>429</v>
      </c>
      <c r="G93" s="13">
        <v>20</v>
      </c>
      <c r="H93" s="13">
        <v>48</v>
      </c>
      <c r="I93" s="49" t="s">
        <v>439</v>
      </c>
      <c r="J93" s="88"/>
      <c r="K93" s="94"/>
      <c r="L93" s="73">
        <f>VLOOKUP(ProductCost[[#This Row],[Mix / Product Name]],'M - All'!$B$100:$D$330,3,FALSE)</f>
        <v>1.2299111702127659</v>
      </c>
      <c r="M93" s="19">
        <f>IFERROR(IF(OR(A93="PHF Horse Mixes",A93="Peckish",A93="Hay &amp; Straw",ProductCost[[#This Row],[Bagging Process]]=""),0,$Y$7),0)</f>
        <v>0</v>
      </c>
      <c r="N93" s="19">
        <f>IFERROR(VLOOKUP(ProductCost[[#This Row],[Bagging Process]],$W$11:$Y$20,3,FALSE),0)</f>
        <v>8.5000000000000006E-2</v>
      </c>
      <c r="O93" s="23">
        <f t="shared" si="6"/>
        <v>0</v>
      </c>
      <c r="P93" s="23">
        <f t="shared" si="7"/>
        <v>6.25E-2</v>
      </c>
      <c r="Q93" s="23">
        <f t="shared" si="8"/>
        <v>1.4583333333333333</v>
      </c>
      <c r="R93" s="227">
        <f t="shared" si="9"/>
        <v>27.819056737588649</v>
      </c>
      <c r="T93" s="96" t="str">
        <f t="shared" si="10"/>
        <v>n/a</v>
      </c>
      <c r="U93" s="114">
        <f t="shared" si="11"/>
        <v>34.800000000000004</v>
      </c>
      <c r="V93" s="4"/>
    </row>
    <row r="94" spans="1:39" ht="13.8" x14ac:dyDescent="0.25">
      <c r="A94" s="226" t="s">
        <v>439</v>
      </c>
      <c r="B94" s="13">
        <v>564078</v>
      </c>
      <c r="C94" s="50" t="s">
        <v>356</v>
      </c>
      <c r="D94" s="50" t="s">
        <v>511</v>
      </c>
      <c r="E94" s="13" t="s">
        <v>435</v>
      </c>
      <c r="F94" s="13"/>
      <c r="G94" s="13">
        <v>1000</v>
      </c>
      <c r="H94" s="13">
        <v>1</v>
      </c>
      <c r="I94" s="49" t="s">
        <v>439</v>
      </c>
      <c r="J94" s="88"/>
      <c r="K94" s="94"/>
      <c r="L94" s="73">
        <f>VLOOKUP(ProductCost[[#This Row],[Mix / Product Name]],'M - All'!$B$100:$D$330,3,FALSE)</f>
        <v>1.2299111702127659</v>
      </c>
      <c r="M94" s="19">
        <f>IFERROR(IF(OR(A94="PHF Horse Mixes",A94="Peckish",A94="Hay &amp; Straw",ProductCost[[#This Row],[Bagging Process]]=""),0,$Y$7),0)</f>
        <v>0</v>
      </c>
      <c r="N94" s="19">
        <f>IFERROR(VLOOKUP(ProductCost[[#This Row],[Bagging Process]],$W$11:$Y$20,3,FALSE),0)</f>
        <v>8.5000000000000006E-2</v>
      </c>
      <c r="O94" s="23">
        <f t="shared" si="6"/>
        <v>0</v>
      </c>
      <c r="P94" s="23">
        <f t="shared" si="7"/>
        <v>1.72E-2</v>
      </c>
      <c r="Q94" s="23">
        <f t="shared" si="8"/>
        <v>7.0000000000000007E-2</v>
      </c>
      <c r="R94" s="227">
        <f t="shared" si="9"/>
        <v>1.402111170212766</v>
      </c>
      <c r="T94" s="96" t="str">
        <f t="shared" si="10"/>
        <v>n/a</v>
      </c>
      <c r="U94" s="114">
        <f t="shared" si="11"/>
        <v>1.8</v>
      </c>
      <c r="V94" s="4"/>
    </row>
    <row r="95" spans="1:39" ht="13.8" x14ac:dyDescent="0.25">
      <c r="A95" s="226" t="s">
        <v>439</v>
      </c>
      <c r="B95" s="13">
        <v>564079</v>
      </c>
      <c r="C95" s="50" t="s">
        <v>357</v>
      </c>
      <c r="D95" s="50" t="s">
        <v>512</v>
      </c>
      <c r="E95" s="13" t="s">
        <v>428</v>
      </c>
      <c r="F95" s="13" t="s">
        <v>429</v>
      </c>
      <c r="G95" s="13">
        <v>20</v>
      </c>
      <c r="H95" s="13">
        <v>48</v>
      </c>
      <c r="I95" s="49" t="s">
        <v>439</v>
      </c>
      <c r="J95" s="88"/>
      <c r="K95" s="94"/>
      <c r="L95" s="73">
        <f>VLOOKUP(ProductCost[[#This Row],[Mix / Product Name]],'M - All'!$B$100:$D$330,3,FALSE)</f>
        <v>0.85439560439560436</v>
      </c>
      <c r="M95" s="19">
        <f>IFERROR(IF(OR(A95="PHF Horse Mixes",A95="Peckish",A95="Hay &amp; Straw",ProductCost[[#This Row],[Bagging Process]]=""),0,$Y$7),0)</f>
        <v>0</v>
      </c>
      <c r="N95" s="19">
        <f>IFERROR(VLOOKUP(ProductCost[[#This Row],[Bagging Process]],$W$11:$Y$20,3,FALSE),0)</f>
        <v>8.5000000000000006E-2</v>
      </c>
      <c r="O95" s="23">
        <f t="shared" si="6"/>
        <v>0</v>
      </c>
      <c r="P95" s="23">
        <f t="shared" si="7"/>
        <v>6.25E-2</v>
      </c>
      <c r="Q95" s="23">
        <f t="shared" si="8"/>
        <v>1.4583333333333333</v>
      </c>
      <c r="R95" s="227">
        <f t="shared" si="9"/>
        <v>20.308745421245419</v>
      </c>
      <c r="T95" s="96" t="str">
        <f t="shared" si="10"/>
        <v>n/a</v>
      </c>
      <c r="U95" s="114">
        <f t="shared" si="11"/>
        <v>25.400000000000002</v>
      </c>
      <c r="V95" s="4"/>
    </row>
    <row r="96" spans="1:39" ht="13.8" x14ac:dyDescent="0.25">
      <c r="A96" s="226" t="s">
        <v>439</v>
      </c>
      <c r="B96" s="13">
        <v>564080</v>
      </c>
      <c r="C96" s="50" t="s">
        <v>358</v>
      </c>
      <c r="D96" s="50" t="s">
        <v>512</v>
      </c>
      <c r="E96" s="13" t="s">
        <v>435</v>
      </c>
      <c r="F96" s="13"/>
      <c r="G96" s="13">
        <v>1000</v>
      </c>
      <c r="H96" s="13">
        <v>1</v>
      </c>
      <c r="I96" s="49" t="s">
        <v>439</v>
      </c>
      <c r="J96" s="88"/>
      <c r="K96" s="94"/>
      <c r="L96" s="73">
        <f>VLOOKUP(ProductCost[[#This Row],[Mix / Product Name]],'M - All'!$B$100:$D$330,3,FALSE)</f>
        <v>0.85439560439560436</v>
      </c>
      <c r="M96" s="19">
        <f>IFERROR(IF(OR(A96="PHF Horse Mixes",A96="Peckish",A96="Hay &amp; Straw",ProductCost[[#This Row],[Bagging Process]]=""),0,$Y$7),0)</f>
        <v>0</v>
      </c>
      <c r="N96" s="19">
        <f>IFERROR(VLOOKUP(ProductCost[[#This Row],[Bagging Process]],$W$11:$Y$20,3,FALSE),0)</f>
        <v>8.5000000000000006E-2</v>
      </c>
      <c r="O96" s="23">
        <f t="shared" si="6"/>
        <v>0</v>
      </c>
      <c r="P96" s="23">
        <f t="shared" si="7"/>
        <v>1.72E-2</v>
      </c>
      <c r="Q96" s="23">
        <f t="shared" si="8"/>
        <v>7.0000000000000007E-2</v>
      </c>
      <c r="R96" s="227">
        <f t="shared" si="9"/>
        <v>1.0265956043956044</v>
      </c>
      <c r="T96" s="96" t="str">
        <f t="shared" si="10"/>
        <v>n/a</v>
      </c>
      <c r="U96" s="114">
        <f t="shared" si="11"/>
        <v>1.3</v>
      </c>
      <c r="V96" s="4"/>
    </row>
    <row r="97" spans="1:39" ht="13.8" x14ac:dyDescent="0.25">
      <c r="A97" s="226" t="s">
        <v>439</v>
      </c>
      <c r="B97" s="13">
        <v>564081</v>
      </c>
      <c r="C97" s="50" t="s">
        <v>359</v>
      </c>
      <c r="D97" s="50" t="s">
        <v>513</v>
      </c>
      <c r="E97" s="13" t="s">
        <v>428</v>
      </c>
      <c r="F97" s="13" t="s">
        <v>429</v>
      </c>
      <c r="G97" s="13">
        <v>20</v>
      </c>
      <c r="H97" s="13">
        <v>48</v>
      </c>
      <c r="I97" s="49" t="s">
        <v>439</v>
      </c>
      <c r="J97" s="88"/>
      <c r="K97" s="94"/>
      <c r="L97" s="73">
        <f>VLOOKUP(ProductCost[[#This Row],[Mix / Product Name]],'M - All'!$B$100:$D$330,3,FALSE)</f>
        <v>0.92927749999999998</v>
      </c>
      <c r="M97" s="19">
        <f>IFERROR(IF(OR(A97="PHF Horse Mixes",A97="Peckish",A97="Hay &amp; Straw",ProductCost[[#This Row],[Bagging Process]]=""),0,$Y$7),0)</f>
        <v>0</v>
      </c>
      <c r="N97" s="19">
        <f>IFERROR(VLOOKUP(ProductCost[[#This Row],[Bagging Process]],$W$11:$Y$20,3,FALSE),0)</f>
        <v>8.5000000000000006E-2</v>
      </c>
      <c r="O97" s="23">
        <f t="shared" si="6"/>
        <v>0</v>
      </c>
      <c r="P97" s="23">
        <f t="shared" si="7"/>
        <v>6.25E-2</v>
      </c>
      <c r="Q97" s="23">
        <f t="shared" si="8"/>
        <v>1.4583333333333333</v>
      </c>
      <c r="R97" s="227">
        <f t="shared" si="9"/>
        <v>21.806383333333333</v>
      </c>
      <c r="T97" s="96" t="str">
        <f t="shared" si="10"/>
        <v>n/a</v>
      </c>
      <c r="U97" s="114">
        <f t="shared" si="11"/>
        <v>27.3</v>
      </c>
      <c r="V97" s="4"/>
    </row>
    <row r="98" spans="1:39" ht="13.8" x14ac:dyDescent="0.25">
      <c r="A98" s="226" t="s">
        <v>439</v>
      </c>
      <c r="B98" s="13">
        <v>564082</v>
      </c>
      <c r="C98" s="50" t="s">
        <v>360</v>
      </c>
      <c r="D98" s="50" t="s">
        <v>513</v>
      </c>
      <c r="E98" s="13" t="s">
        <v>435</v>
      </c>
      <c r="F98" s="13"/>
      <c r="G98" s="13">
        <v>1000</v>
      </c>
      <c r="H98" s="13">
        <v>1</v>
      </c>
      <c r="I98" s="49" t="s">
        <v>439</v>
      </c>
      <c r="J98" s="88"/>
      <c r="K98" s="94"/>
      <c r="L98" s="73">
        <f>VLOOKUP(ProductCost[[#This Row],[Mix / Product Name]],'M - All'!$B$100:$D$330,3,FALSE)</f>
        <v>0.92927749999999998</v>
      </c>
      <c r="M98" s="19">
        <f>IFERROR(IF(OR(A98="PHF Horse Mixes",A98="Peckish",A98="Hay &amp; Straw",ProductCost[[#This Row],[Bagging Process]]=""),0,$Y$7),0)</f>
        <v>0</v>
      </c>
      <c r="N98" s="19">
        <f>IFERROR(VLOOKUP(ProductCost[[#This Row],[Bagging Process]],$W$11:$Y$20,3,FALSE),0)</f>
        <v>8.5000000000000006E-2</v>
      </c>
      <c r="O98" s="23">
        <f t="shared" si="6"/>
        <v>0</v>
      </c>
      <c r="P98" s="23">
        <f t="shared" si="7"/>
        <v>1.72E-2</v>
      </c>
      <c r="Q98" s="23">
        <f t="shared" si="8"/>
        <v>7.0000000000000007E-2</v>
      </c>
      <c r="R98" s="227">
        <f t="shared" si="9"/>
        <v>1.1014775000000001</v>
      </c>
      <c r="T98" s="96" t="str">
        <f t="shared" si="10"/>
        <v>n/a</v>
      </c>
      <c r="U98" s="114">
        <f t="shared" si="11"/>
        <v>1.4000000000000001</v>
      </c>
      <c r="V98" s="4"/>
    </row>
    <row r="99" spans="1:39" ht="13.8" x14ac:dyDescent="0.25">
      <c r="A99" s="226" t="s">
        <v>439</v>
      </c>
      <c r="B99" s="13">
        <v>564083</v>
      </c>
      <c r="C99" s="50" t="s">
        <v>361</v>
      </c>
      <c r="D99" s="50" t="s">
        <v>514</v>
      </c>
      <c r="E99" s="13" t="s">
        <v>428</v>
      </c>
      <c r="F99" s="13" t="s">
        <v>429</v>
      </c>
      <c r="G99" s="13">
        <v>20</v>
      </c>
      <c r="H99" s="13">
        <v>48</v>
      </c>
      <c r="I99" s="49" t="s">
        <v>439</v>
      </c>
      <c r="J99" s="88"/>
      <c r="K99" s="94"/>
      <c r="L99" s="73">
        <f>VLOOKUP(ProductCost[[#This Row],[Mix / Product Name]],'M - All'!$B$100:$D$330,3,FALSE)</f>
        <v>0.81704602176300289</v>
      </c>
      <c r="M99" s="19">
        <f>IFERROR(IF(OR(A99="PHF Horse Mixes",A99="Peckish",A99="Hay &amp; Straw",ProductCost[[#This Row],[Bagging Process]]=""),0,$Y$7),0)</f>
        <v>0</v>
      </c>
      <c r="N99" s="19">
        <f>IFERROR(VLOOKUP(ProductCost[[#This Row],[Bagging Process]],$W$11:$Y$20,3,FALSE),0)</f>
        <v>8.5000000000000006E-2</v>
      </c>
      <c r="O99" s="23">
        <f t="shared" si="6"/>
        <v>0</v>
      </c>
      <c r="P99" s="23">
        <f t="shared" si="7"/>
        <v>6.25E-2</v>
      </c>
      <c r="Q99" s="23">
        <f t="shared" si="8"/>
        <v>1.4583333333333333</v>
      </c>
      <c r="R99" s="227">
        <f t="shared" si="9"/>
        <v>19.561753768593388</v>
      </c>
      <c r="T99" s="96" t="str">
        <f t="shared" si="10"/>
        <v>n/a</v>
      </c>
      <c r="U99" s="114">
        <f t="shared" si="11"/>
        <v>24.5</v>
      </c>
      <c r="V99" s="4"/>
    </row>
    <row r="100" spans="1:39" ht="13.8" x14ac:dyDescent="0.25">
      <c r="A100" s="226" t="s">
        <v>439</v>
      </c>
      <c r="B100" s="13">
        <v>564084</v>
      </c>
      <c r="C100" s="50" t="s">
        <v>115</v>
      </c>
      <c r="D100" s="50" t="s">
        <v>514</v>
      </c>
      <c r="E100" s="13" t="s">
        <v>435</v>
      </c>
      <c r="F100" s="13"/>
      <c r="G100" s="13">
        <v>1000</v>
      </c>
      <c r="H100" s="13">
        <v>1</v>
      </c>
      <c r="I100" s="49" t="s">
        <v>439</v>
      </c>
      <c r="J100" s="88"/>
      <c r="K100" s="94"/>
      <c r="L100" s="73">
        <f>VLOOKUP(ProductCost[[#This Row],[Mix / Product Name]],'M - All'!$B$100:$D$330,3,FALSE)</f>
        <v>0.81704602176300289</v>
      </c>
      <c r="M100" s="19">
        <f>IFERROR(IF(OR(A100="PHF Horse Mixes",A100="Peckish",A100="Hay &amp; Straw",ProductCost[[#This Row],[Bagging Process]]=""),0,$Y$7),0)</f>
        <v>0</v>
      </c>
      <c r="N100" s="19">
        <f>IFERROR(VLOOKUP(ProductCost[[#This Row],[Bagging Process]],$W$11:$Y$20,3,FALSE),0)</f>
        <v>8.5000000000000006E-2</v>
      </c>
      <c r="O100" s="23">
        <f t="shared" si="6"/>
        <v>0</v>
      </c>
      <c r="P100" s="23">
        <f t="shared" si="7"/>
        <v>1.72E-2</v>
      </c>
      <c r="Q100" s="23">
        <f t="shared" si="8"/>
        <v>7.0000000000000007E-2</v>
      </c>
      <c r="R100" s="227">
        <f t="shared" si="9"/>
        <v>0.9892460217630028</v>
      </c>
      <c r="T100" s="96" t="str">
        <f t="shared" si="10"/>
        <v>n/a</v>
      </c>
      <c r="U100" s="114">
        <f t="shared" si="11"/>
        <v>1.3</v>
      </c>
      <c r="V100" s="4"/>
    </row>
    <row r="101" spans="1:39" ht="13.8" x14ac:dyDescent="0.25">
      <c r="A101" s="226" t="s">
        <v>439</v>
      </c>
      <c r="B101" s="13">
        <v>564087</v>
      </c>
      <c r="C101" s="50" t="s">
        <v>363</v>
      </c>
      <c r="D101" s="50" t="s">
        <v>515</v>
      </c>
      <c r="E101" s="13" t="s">
        <v>428</v>
      </c>
      <c r="F101" s="13" t="s">
        <v>429</v>
      </c>
      <c r="G101" s="13">
        <v>20</v>
      </c>
      <c r="H101" s="13">
        <v>48</v>
      </c>
      <c r="I101" s="49" t="s">
        <v>439</v>
      </c>
      <c r="J101" s="88"/>
      <c r="K101" s="94"/>
      <c r="L101" s="73">
        <f>VLOOKUP(ProductCost[[#This Row],[Mix / Product Name]],'M - All'!$B$100:$D$330,3,FALSE)</f>
        <v>1.7867033333333333</v>
      </c>
      <c r="M101" s="19">
        <f>IFERROR(IF(OR(A101="PHF Horse Mixes",A101="Peckish",A101="Hay &amp; Straw",ProductCost[[#This Row],[Bagging Process]]=""),0,$Y$7),0)</f>
        <v>0</v>
      </c>
      <c r="N101" s="19">
        <f>IFERROR(VLOOKUP(ProductCost[[#This Row],[Bagging Process]],$W$11:$Y$20,3,FALSE),0)</f>
        <v>8.5000000000000006E-2</v>
      </c>
      <c r="O101" s="23">
        <f t="shared" si="6"/>
        <v>0</v>
      </c>
      <c r="P101" s="23">
        <f t="shared" si="7"/>
        <v>6.25E-2</v>
      </c>
      <c r="Q101" s="23">
        <f t="shared" si="8"/>
        <v>1.4583333333333333</v>
      </c>
      <c r="R101" s="227">
        <f t="shared" si="9"/>
        <v>38.954900000000002</v>
      </c>
      <c r="T101" s="96" t="str">
        <f t="shared" si="10"/>
        <v>n/a</v>
      </c>
      <c r="U101" s="114">
        <f t="shared" si="11"/>
        <v>48.7</v>
      </c>
      <c r="V101" s="4"/>
    </row>
    <row r="102" spans="1:39" ht="13.8" x14ac:dyDescent="0.25">
      <c r="A102" s="226" t="s">
        <v>439</v>
      </c>
      <c r="B102" s="13">
        <v>564088</v>
      </c>
      <c r="C102" s="50" t="s">
        <v>364</v>
      </c>
      <c r="D102" s="50" t="s">
        <v>515</v>
      </c>
      <c r="E102" s="13" t="s">
        <v>435</v>
      </c>
      <c r="F102" s="13"/>
      <c r="G102" s="13">
        <v>1000</v>
      </c>
      <c r="H102" s="13">
        <v>1</v>
      </c>
      <c r="I102" s="49" t="s">
        <v>439</v>
      </c>
      <c r="J102" s="88"/>
      <c r="K102" s="94"/>
      <c r="L102" s="73">
        <f>VLOOKUP(ProductCost[[#This Row],[Mix / Product Name]],'M - All'!$B$100:$D$330,3,FALSE)</f>
        <v>1.7867033333333333</v>
      </c>
      <c r="M102" s="19">
        <f>IFERROR(IF(OR(A102="PHF Horse Mixes",A102="Peckish",A102="Hay &amp; Straw",ProductCost[[#This Row],[Bagging Process]]=""),0,$Y$7),0)</f>
        <v>0</v>
      </c>
      <c r="N102" s="19">
        <f>IFERROR(VLOOKUP(ProductCost[[#This Row],[Bagging Process]],$W$11:$Y$20,3,FALSE),0)</f>
        <v>8.5000000000000006E-2</v>
      </c>
      <c r="O102" s="23">
        <f t="shared" si="6"/>
        <v>0</v>
      </c>
      <c r="P102" s="23">
        <f t="shared" si="7"/>
        <v>1.72E-2</v>
      </c>
      <c r="Q102" s="23">
        <f t="shared" si="8"/>
        <v>7.0000000000000007E-2</v>
      </c>
      <c r="R102" s="227">
        <f t="shared" si="9"/>
        <v>1.9589033333333334</v>
      </c>
      <c r="T102" s="96" t="str">
        <f t="shared" si="10"/>
        <v>n/a</v>
      </c>
      <c r="U102" s="114">
        <f t="shared" si="11"/>
        <v>2.5</v>
      </c>
      <c r="V102" s="4"/>
    </row>
    <row r="103" spans="1:39" ht="13.8" x14ac:dyDescent="0.25">
      <c r="A103" s="226" t="s">
        <v>439</v>
      </c>
      <c r="B103" s="13">
        <v>565308</v>
      </c>
      <c r="C103" s="50" t="s">
        <v>381</v>
      </c>
      <c r="D103" s="50" t="s">
        <v>516</v>
      </c>
      <c r="E103" s="13" t="s">
        <v>435</v>
      </c>
      <c r="F103" s="13"/>
      <c r="G103" s="13">
        <v>1000</v>
      </c>
      <c r="H103" s="13">
        <v>1</v>
      </c>
      <c r="I103" s="49" t="s">
        <v>439</v>
      </c>
      <c r="J103" s="88"/>
      <c r="K103" s="94"/>
      <c r="L103" s="73">
        <f>VLOOKUP(ProductCost[[#This Row],[Mix / Product Name]],'M - All'!$B$100:$D$330,3,FALSE)</f>
        <v>0.80316517412935318</v>
      </c>
      <c r="M103" s="19">
        <f>IFERROR(IF(OR(A103="PHF Horse Mixes",A103="Peckish",A103="Hay &amp; Straw",ProductCost[[#This Row],[Bagging Process]]=""),0,$Y$7),0)</f>
        <v>0</v>
      </c>
      <c r="N103" s="19">
        <f>IFERROR(VLOOKUP(ProductCost[[#This Row],[Bagging Process]],$W$11:$Y$20,3,FALSE),0)</f>
        <v>8.5000000000000006E-2</v>
      </c>
      <c r="O103" s="23">
        <f t="shared" si="6"/>
        <v>0</v>
      </c>
      <c r="P103" s="23">
        <f t="shared" si="7"/>
        <v>1.72E-2</v>
      </c>
      <c r="Q103" s="23">
        <f t="shared" si="8"/>
        <v>7.0000000000000007E-2</v>
      </c>
      <c r="R103" s="227">
        <f t="shared" si="9"/>
        <v>0.9753651741293532</v>
      </c>
      <c r="T103" s="96" t="str">
        <f t="shared" si="10"/>
        <v>n/a</v>
      </c>
      <c r="U103" s="114">
        <f t="shared" si="11"/>
        <v>1.3</v>
      </c>
      <c r="V103" s="4"/>
    </row>
    <row r="104" spans="1:39" ht="13.8" x14ac:dyDescent="0.25">
      <c r="A104" s="226" t="s">
        <v>439</v>
      </c>
      <c r="B104" s="13">
        <v>565309</v>
      </c>
      <c r="C104" s="50" t="s">
        <v>382</v>
      </c>
      <c r="D104" s="50" t="s">
        <v>516</v>
      </c>
      <c r="E104" s="13" t="s">
        <v>428</v>
      </c>
      <c r="F104" s="13" t="s">
        <v>429</v>
      </c>
      <c r="G104" s="13">
        <v>20</v>
      </c>
      <c r="H104" s="13">
        <v>48</v>
      </c>
      <c r="I104" s="49" t="s">
        <v>439</v>
      </c>
      <c r="J104" s="88"/>
      <c r="K104" s="94"/>
      <c r="L104" s="73">
        <f>VLOOKUP(ProductCost[[#This Row],[Mix / Product Name]],'M - All'!$B$100:$D$330,3,FALSE)</f>
        <v>0.80316517412935318</v>
      </c>
      <c r="M104" s="19">
        <f>IFERROR(IF(OR(A104="PHF Horse Mixes",A104="Peckish",A104="Hay &amp; Straw",ProductCost[[#This Row],[Bagging Process]]=""),0,$Y$7),0)</f>
        <v>0</v>
      </c>
      <c r="N104" s="19">
        <f>IFERROR(VLOOKUP(ProductCost[[#This Row],[Bagging Process]],$W$11:$Y$20,3,FALSE),0)</f>
        <v>8.5000000000000006E-2</v>
      </c>
      <c r="O104" s="23">
        <f t="shared" si="6"/>
        <v>0</v>
      </c>
      <c r="P104" s="23">
        <f t="shared" si="7"/>
        <v>6.25E-2</v>
      </c>
      <c r="Q104" s="23">
        <f t="shared" si="8"/>
        <v>1.4583333333333333</v>
      </c>
      <c r="R104" s="227">
        <f t="shared" si="9"/>
        <v>19.284136815920395</v>
      </c>
      <c r="T104" s="96" t="str">
        <f t="shared" si="10"/>
        <v>n/a</v>
      </c>
      <c r="U104" s="114">
        <f t="shared" si="11"/>
        <v>24.200000000000003</v>
      </c>
      <c r="V104" s="4"/>
      <c r="AL104" s="7" t="s">
        <v>449</v>
      </c>
      <c r="AM104" s="1" t="str" cm="1">
        <f t="array" ref="AM104:AM168">StraightGrain[[#Data],[Raw Materials]]</f>
        <v>Acid Buf</v>
      </c>
    </row>
    <row r="105" spans="1:39" ht="13.8" x14ac:dyDescent="0.25">
      <c r="A105" s="226" t="s">
        <v>439</v>
      </c>
      <c r="B105" s="13">
        <v>566843</v>
      </c>
      <c r="C105" s="50" t="s">
        <v>392</v>
      </c>
      <c r="D105" s="50" t="s">
        <v>517</v>
      </c>
      <c r="E105" s="13" t="s">
        <v>428</v>
      </c>
      <c r="F105" s="13" t="s">
        <v>429</v>
      </c>
      <c r="G105" s="13">
        <v>20</v>
      </c>
      <c r="H105" s="13">
        <v>48</v>
      </c>
      <c r="I105" s="49" t="s">
        <v>439</v>
      </c>
      <c r="J105" s="88"/>
      <c r="K105" s="94"/>
      <c r="L105" s="73">
        <f>VLOOKUP(ProductCost[[#This Row],[Mix / Product Name]],'M - All'!$B$100:$D$330,3,FALSE)</f>
        <v>1.1088121187881212</v>
      </c>
      <c r="M105" s="19">
        <f>IFERROR(IF(OR(A105="PHF Horse Mixes",A105="Peckish",A105="Hay &amp; Straw",ProductCost[[#This Row],[Bagging Process]]=""),0,$Y$7),0)</f>
        <v>0</v>
      </c>
      <c r="N105" s="19">
        <f>IFERROR(VLOOKUP(ProductCost[[#This Row],[Bagging Process]],$W$11:$Y$20,3,FALSE),0)</f>
        <v>8.5000000000000006E-2</v>
      </c>
      <c r="O105" s="23">
        <f t="shared" si="6"/>
        <v>0</v>
      </c>
      <c r="P105" s="23">
        <f t="shared" si="7"/>
        <v>6.25E-2</v>
      </c>
      <c r="Q105" s="23">
        <f t="shared" si="8"/>
        <v>1.4583333333333333</v>
      </c>
      <c r="R105" s="227">
        <f t="shared" si="9"/>
        <v>25.397075709095756</v>
      </c>
      <c r="T105" s="96" t="str">
        <f t="shared" si="10"/>
        <v>n/a</v>
      </c>
      <c r="U105" s="114">
        <f t="shared" si="11"/>
        <v>31.8</v>
      </c>
      <c r="V105" s="4"/>
      <c r="AM105" s="1" t="str">
        <v>All Phase</v>
      </c>
    </row>
    <row r="106" spans="1:39" ht="13.8" x14ac:dyDescent="0.25">
      <c r="A106" s="226" t="s">
        <v>439</v>
      </c>
      <c r="B106" s="13">
        <v>566844</v>
      </c>
      <c r="C106" s="50" t="s">
        <v>393</v>
      </c>
      <c r="D106" s="50" t="s">
        <v>518</v>
      </c>
      <c r="E106" s="13" t="s">
        <v>428</v>
      </c>
      <c r="F106" s="13" t="s">
        <v>429</v>
      </c>
      <c r="G106" s="13">
        <v>20</v>
      </c>
      <c r="H106" s="13">
        <v>48</v>
      </c>
      <c r="I106" s="49" t="s">
        <v>439</v>
      </c>
      <c r="J106" s="88"/>
      <c r="K106" s="94"/>
      <c r="L106" s="73">
        <f>VLOOKUP(ProductCost[[#This Row],[Mix / Product Name]],'M - All'!$B$100:$D$330,3,FALSE)</f>
        <v>1.1434640000000003</v>
      </c>
      <c r="M106" s="19">
        <f>IFERROR(IF(OR(A106="PHF Horse Mixes",A106="Peckish",A106="Hay &amp; Straw",ProductCost[[#This Row],[Bagging Process]]=""),0,$Y$7),0)</f>
        <v>0</v>
      </c>
      <c r="N106" s="19">
        <f>IFERROR(VLOOKUP(ProductCost[[#This Row],[Bagging Process]],$W$11:$Y$20,3,FALSE),0)</f>
        <v>8.5000000000000006E-2</v>
      </c>
      <c r="O106" s="23">
        <f t="shared" si="6"/>
        <v>0</v>
      </c>
      <c r="P106" s="23">
        <f t="shared" si="7"/>
        <v>6.25E-2</v>
      </c>
      <c r="Q106" s="23">
        <f t="shared" si="8"/>
        <v>1.4583333333333333</v>
      </c>
      <c r="R106" s="227">
        <f t="shared" si="9"/>
        <v>26.090113333333338</v>
      </c>
      <c r="T106" s="96" t="str">
        <f t="shared" si="10"/>
        <v>n/a</v>
      </c>
      <c r="U106" s="114">
        <f t="shared" si="11"/>
        <v>32.700000000000003</v>
      </c>
      <c r="V106" s="4"/>
      <c r="AM106" s="1" t="str">
        <v>Apple Flavouring</v>
      </c>
    </row>
    <row r="107" spans="1:39" ht="13.8" x14ac:dyDescent="0.25">
      <c r="A107" s="226" t="s">
        <v>439</v>
      </c>
      <c r="B107" s="13">
        <v>564064</v>
      </c>
      <c r="C107" s="50" t="s">
        <v>343</v>
      </c>
      <c r="D107" s="50" t="s">
        <v>507</v>
      </c>
      <c r="E107" s="13" t="s">
        <v>428</v>
      </c>
      <c r="F107" s="13" t="s">
        <v>429</v>
      </c>
      <c r="G107" s="13">
        <v>12</v>
      </c>
      <c r="H107" s="13">
        <v>42</v>
      </c>
      <c r="I107" s="49" t="s">
        <v>439</v>
      </c>
      <c r="J107" s="88"/>
      <c r="K107" s="94"/>
      <c r="L107" s="73">
        <f>VLOOKUP(ProductCost[[#This Row],[Mix / Product Name]],'M - All'!$B$100:$D$330,3,FALSE)</f>
        <v>1.0557413</v>
      </c>
      <c r="M107" s="19">
        <f>IFERROR(IF(OR(A107="PHF Horse Mixes",A107="Peckish",A107="Hay &amp; Straw",ProductCost[[#This Row],[Bagging Process]]=""),0,$Y$7),0)</f>
        <v>0</v>
      </c>
      <c r="N107" s="19">
        <f>IFERROR(VLOOKUP(ProductCost[[#This Row],[Bagging Process]],$W$11:$Y$20,3,FALSE),0)</f>
        <v>8.5000000000000006E-2</v>
      </c>
      <c r="O107" s="23">
        <f t="shared" si="6"/>
        <v>0</v>
      </c>
      <c r="P107" s="23">
        <f t="shared" si="7"/>
        <v>6.25E-2</v>
      </c>
      <c r="Q107" s="23">
        <f t="shared" si="8"/>
        <v>1.6666666666666667</v>
      </c>
      <c r="R107" s="227">
        <f t="shared" si="9"/>
        <v>15.418062266666665</v>
      </c>
      <c r="T107" s="96" t="str">
        <f t="shared" si="10"/>
        <v>n/a</v>
      </c>
      <c r="U107" s="114">
        <f t="shared" si="11"/>
        <v>19.3</v>
      </c>
      <c r="V107" s="4"/>
      <c r="AM107" s="1" t="str">
        <v>Barley</v>
      </c>
    </row>
    <row r="108" spans="1:39" ht="13.8" x14ac:dyDescent="0.25">
      <c r="A108" s="226" t="s">
        <v>439</v>
      </c>
      <c r="B108" s="13">
        <v>564085</v>
      </c>
      <c r="C108" s="50" t="s">
        <v>362</v>
      </c>
      <c r="D108" s="50" t="s">
        <v>519</v>
      </c>
      <c r="E108" s="13" t="s">
        <v>428</v>
      </c>
      <c r="F108" s="13" t="s">
        <v>429</v>
      </c>
      <c r="G108" s="13">
        <v>20</v>
      </c>
      <c r="H108" s="13">
        <v>48</v>
      </c>
      <c r="I108" s="49" t="s">
        <v>439</v>
      </c>
      <c r="J108" s="88"/>
      <c r="K108" s="94"/>
      <c r="L108" s="73">
        <f>VLOOKUP(ProductCost[[#This Row],[Mix / Product Name]],'M - All'!$B$100:$D$330,3,FALSE)</f>
        <v>1.1002099999999999</v>
      </c>
      <c r="M108" s="19">
        <f>IFERROR(IF(OR(A108="PHF Horse Mixes",A108="Peckish",A108="Hay &amp; Straw",ProductCost[[#This Row],[Bagging Process]]=""),0,$Y$7),0)</f>
        <v>0</v>
      </c>
      <c r="N108" s="19">
        <f>IFERROR(VLOOKUP(ProductCost[[#This Row],[Bagging Process]],$W$11:$Y$20,3,FALSE),0)</f>
        <v>8.5000000000000006E-2</v>
      </c>
      <c r="O108" s="23">
        <f t="shared" si="6"/>
        <v>0</v>
      </c>
      <c r="P108" s="23">
        <f t="shared" si="7"/>
        <v>6.25E-2</v>
      </c>
      <c r="Q108" s="23">
        <f t="shared" si="8"/>
        <v>1.4583333333333333</v>
      </c>
      <c r="R108" s="227">
        <f t="shared" si="9"/>
        <v>25.225033333333329</v>
      </c>
      <c r="T108" s="96" t="str">
        <f t="shared" si="10"/>
        <v>n/a</v>
      </c>
      <c r="U108" s="114">
        <f t="shared" si="11"/>
        <v>31.6</v>
      </c>
      <c r="V108" s="4"/>
      <c r="AM108" s="1" t="str">
        <v>Bedding Straw</v>
      </c>
    </row>
    <row r="109" spans="1:39" ht="13.8" x14ac:dyDescent="0.25">
      <c r="A109" s="226" t="s">
        <v>439</v>
      </c>
      <c r="B109" s="13">
        <v>564086</v>
      </c>
      <c r="C109" s="50" t="s">
        <v>117</v>
      </c>
      <c r="D109" s="50" t="s">
        <v>519</v>
      </c>
      <c r="E109" s="13" t="s">
        <v>435</v>
      </c>
      <c r="F109" s="13"/>
      <c r="G109" s="13">
        <v>1000</v>
      </c>
      <c r="H109" s="13">
        <v>1</v>
      </c>
      <c r="I109" s="49" t="s">
        <v>439</v>
      </c>
      <c r="J109" s="88"/>
      <c r="K109" s="94"/>
      <c r="L109" s="73">
        <f>VLOOKUP(ProductCost[[#This Row],[Mix / Product Name]],'M - All'!$B$100:$D$330,3,FALSE)</f>
        <v>1.1002099999999999</v>
      </c>
      <c r="M109" s="19">
        <f>IFERROR(IF(OR(A109="PHF Horse Mixes",A109="Peckish",A109="Hay &amp; Straw",ProductCost[[#This Row],[Bagging Process]]=""),0,$Y$7),0)</f>
        <v>0</v>
      </c>
      <c r="N109" s="19">
        <f>IFERROR(VLOOKUP(ProductCost[[#This Row],[Bagging Process]],$W$11:$Y$20,3,FALSE),0)</f>
        <v>8.5000000000000006E-2</v>
      </c>
      <c r="O109" s="23">
        <f t="shared" si="6"/>
        <v>0</v>
      </c>
      <c r="P109" s="23">
        <f t="shared" si="7"/>
        <v>1.72E-2</v>
      </c>
      <c r="Q109" s="23">
        <f t="shared" si="8"/>
        <v>7.0000000000000007E-2</v>
      </c>
      <c r="R109" s="227">
        <f t="shared" si="9"/>
        <v>1.27241</v>
      </c>
      <c r="T109" s="96" t="str">
        <f t="shared" si="10"/>
        <v>n/a</v>
      </c>
      <c r="U109" s="114">
        <f t="shared" si="11"/>
        <v>1.6</v>
      </c>
      <c r="V109" s="4"/>
      <c r="AM109" s="1" t="str">
        <v>Black Sunflowers</v>
      </c>
    </row>
    <row r="110" spans="1:39" ht="13.8" x14ac:dyDescent="0.25">
      <c r="A110" s="226" t="s">
        <v>439</v>
      </c>
      <c r="B110" s="13">
        <v>566842</v>
      </c>
      <c r="C110" s="50" t="s">
        <v>520</v>
      </c>
      <c r="D110" s="50" t="s">
        <v>521</v>
      </c>
      <c r="E110" s="13" t="s">
        <v>428</v>
      </c>
      <c r="F110" s="13" t="s">
        <v>429</v>
      </c>
      <c r="G110" s="13">
        <v>20</v>
      </c>
      <c r="H110" s="13">
        <v>48</v>
      </c>
      <c r="I110" s="49" t="s">
        <v>439</v>
      </c>
      <c r="J110" s="88"/>
      <c r="K110" s="94"/>
      <c r="L110" s="73">
        <f>VLOOKUP(ProductCost[[#This Row],[Mix / Product Name]],'M - All'!$B$100:$D$330,3,FALSE)</f>
        <v>1.3575328100000001</v>
      </c>
      <c r="M110" s="19">
        <f>IFERROR(IF(OR(A110="PHF Horse Mixes",A110="Peckish",A110="Hay &amp; Straw",ProductCost[[#This Row],[Bagging Process]]=""),0,$Y$7),0)</f>
        <v>0</v>
      </c>
      <c r="N110" s="19">
        <f>IFERROR(VLOOKUP(ProductCost[[#This Row],[Bagging Process]],$W$11:$Y$20,3,FALSE),0)</f>
        <v>8.5000000000000006E-2</v>
      </c>
      <c r="O110" s="23">
        <f t="shared" si="6"/>
        <v>0</v>
      </c>
      <c r="P110" s="23">
        <f t="shared" si="7"/>
        <v>6.25E-2</v>
      </c>
      <c r="Q110" s="23">
        <f t="shared" si="8"/>
        <v>1.4583333333333333</v>
      </c>
      <c r="R110" s="227">
        <f t="shared" si="9"/>
        <v>30.371489533333335</v>
      </c>
      <c r="T110" s="96" t="str">
        <f t="shared" si="10"/>
        <v>n/a</v>
      </c>
      <c r="U110" s="114">
        <f t="shared" si="11"/>
        <v>38</v>
      </c>
      <c r="V110" s="4"/>
      <c r="AM110" s="1" t="str">
        <v>Bran</v>
      </c>
    </row>
    <row r="111" spans="1:39" ht="13.8" x14ac:dyDescent="0.25">
      <c r="A111" s="226" t="s">
        <v>439</v>
      </c>
      <c r="B111" s="13">
        <v>577214</v>
      </c>
      <c r="C111" s="50" t="s">
        <v>402</v>
      </c>
      <c r="D111" s="50" t="s">
        <v>521</v>
      </c>
      <c r="E111" s="13" t="s">
        <v>435</v>
      </c>
      <c r="F111" s="13"/>
      <c r="G111" s="13">
        <v>1000</v>
      </c>
      <c r="H111" s="13">
        <v>1</v>
      </c>
      <c r="I111" s="49" t="s">
        <v>439</v>
      </c>
      <c r="J111" s="88"/>
      <c r="K111" s="94"/>
      <c r="L111" s="73">
        <f>VLOOKUP(ProductCost[[#This Row],[Mix / Product Name]],'M - All'!$B$100:$D$330,3,FALSE)</f>
        <v>1.3575328100000001</v>
      </c>
      <c r="M111" s="19">
        <f>IFERROR(IF(OR(A111="PHF Horse Mixes",A111="Peckish",A111="Hay &amp; Straw",ProductCost[[#This Row],[Bagging Process]]=""),0,$Y$7),0)</f>
        <v>0</v>
      </c>
      <c r="N111" s="19">
        <f>IFERROR(VLOOKUP(ProductCost[[#This Row],[Bagging Process]],$W$11:$Y$20,3,FALSE),0)</f>
        <v>8.5000000000000006E-2</v>
      </c>
      <c r="O111" s="23">
        <f t="shared" si="6"/>
        <v>0</v>
      </c>
      <c r="P111" s="23">
        <f t="shared" si="7"/>
        <v>1.72E-2</v>
      </c>
      <c r="Q111" s="23">
        <f t="shared" si="8"/>
        <v>7.0000000000000007E-2</v>
      </c>
      <c r="R111" s="227">
        <f t="shared" si="9"/>
        <v>1.5297328100000003</v>
      </c>
      <c r="T111" s="96" t="str">
        <f t="shared" si="10"/>
        <v>n/a</v>
      </c>
      <c r="U111" s="114">
        <f t="shared" si="11"/>
        <v>2</v>
      </c>
      <c r="V111" s="4"/>
      <c r="AM111" s="1" t="str">
        <v>Breed n Grow BMC</v>
      </c>
    </row>
    <row r="112" spans="1:39" ht="13.8" x14ac:dyDescent="0.25">
      <c r="A112" s="226" t="s">
        <v>439</v>
      </c>
      <c r="B112" s="13">
        <v>564089</v>
      </c>
      <c r="C112" s="50" t="s">
        <v>365</v>
      </c>
      <c r="D112" s="50" t="s">
        <v>500</v>
      </c>
      <c r="E112" s="13" t="s">
        <v>428</v>
      </c>
      <c r="F112" s="13" t="s">
        <v>429</v>
      </c>
      <c r="G112" s="13">
        <v>20</v>
      </c>
      <c r="H112" s="13">
        <v>48</v>
      </c>
      <c r="I112" s="49" t="s">
        <v>439</v>
      </c>
      <c r="J112" s="88"/>
      <c r="K112" s="94"/>
      <c r="L112" s="73">
        <f>VLOOKUP(ProductCost[[#This Row],[Mix / Product Name]],'M - All'!$B$100:$D$330,3,FALSE)</f>
        <v>0.90363681592039813</v>
      </c>
      <c r="M112" s="19">
        <f>IFERROR(IF(OR(A112="PHF Horse Mixes",A112="Peckish",A112="Hay &amp; Straw",ProductCost[[#This Row],[Bagging Process]]=""),0,$Y$7),0)</f>
        <v>0</v>
      </c>
      <c r="N112" s="19">
        <f>IFERROR(VLOOKUP(ProductCost[[#This Row],[Bagging Process]],$W$11:$Y$20,3,FALSE),0)</f>
        <v>8.5000000000000006E-2</v>
      </c>
      <c r="O112" s="23">
        <f t="shared" si="6"/>
        <v>0</v>
      </c>
      <c r="P112" s="23">
        <f t="shared" si="7"/>
        <v>6.25E-2</v>
      </c>
      <c r="Q112" s="23">
        <f t="shared" si="8"/>
        <v>1.4583333333333333</v>
      </c>
      <c r="R112" s="227">
        <f t="shared" si="9"/>
        <v>21.293569651741294</v>
      </c>
      <c r="T112" s="96" t="str">
        <f t="shared" si="10"/>
        <v>n/a</v>
      </c>
      <c r="U112" s="114">
        <f t="shared" si="11"/>
        <v>26.700000000000003</v>
      </c>
      <c r="V112" s="4"/>
      <c r="AM112" s="1" t="str">
        <v>Brown Rice</v>
      </c>
    </row>
    <row r="113" spans="1:39" ht="13.8" x14ac:dyDescent="0.25">
      <c r="A113" s="226" t="s">
        <v>439</v>
      </c>
      <c r="B113" s="13">
        <v>564090</v>
      </c>
      <c r="C113" s="50" t="s">
        <v>366</v>
      </c>
      <c r="D113" s="50" t="s">
        <v>500</v>
      </c>
      <c r="E113" s="13" t="s">
        <v>435</v>
      </c>
      <c r="F113" s="13"/>
      <c r="G113" s="13">
        <v>1000</v>
      </c>
      <c r="H113" s="13">
        <v>1</v>
      </c>
      <c r="I113" s="49" t="s">
        <v>439</v>
      </c>
      <c r="J113" s="88"/>
      <c r="K113" s="94"/>
      <c r="L113" s="73">
        <f>VLOOKUP(ProductCost[[#This Row],[Mix / Product Name]],'M - All'!$B$100:$D$330,3,FALSE)</f>
        <v>0.90363681592039813</v>
      </c>
      <c r="M113" s="19">
        <f>IFERROR(IF(OR(A113="PHF Horse Mixes",A113="Peckish",A113="Hay &amp; Straw",ProductCost[[#This Row],[Bagging Process]]=""),0,$Y$7),0)</f>
        <v>0</v>
      </c>
      <c r="N113" s="19">
        <f>IFERROR(VLOOKUP(ProductCost[[#This Row],[Bagging Process]],$W$11:$Y$20,3,FALSE),0)</f>
        <v>8.5000000000000006E-2</v>
      </c>
      <c r="O113" s="23">
        <f t="shared" si="6"/>
        <v>0</v>
      </c>
      <c r="P113" s="23">
        <f t="shared" si="7"/>
        <v>1.72E-2</v>
      </c>
      <c r="Q113" s="23">
        <f t="shared" si="8"/>
        <v>7.0000000000000007E-2</v>
      </c>
      <c r="R113" s="227">
        <f t="shared" si="9"/>
        <v>1.0758368159203981</v>
      </c>
      <c r="T113" s="96" t="str">
        <f t="shared" si="10"/>
        <v>n/a</v>
      </c>
      <c r="U113" s="114">
        <f t="shared" si="11"/>
        <v>1.4000000000000001</v>
      </c>
      <c r="V113" s="4"/>
      <c r="AM113" s="1" t="str">
        <v>Calm Performer</v>
      </c>
    </row>
    <row r="114" spans="1:39" ht="13.8" x14ac:dyDescent="0.25">
      <c r="A114" s="226" t="s">
        <v>439</v>
      </c>
      <c r="B114" s="13">
        <v>564091</v>
      </c>
      <c r="C114" s="50" t="s">
        <v>367</v>
      </c>
      <c r="D114" s="50" t="s">
        <v>501</v>
      </c>
      <c r="E114" s="13" t="s">
        <v>428</v>
      </c>
      <c r="F114" s="13" t="s">
        <v>429</v>
      </c>
      <c r="G114" s="13">
        <v>20</v>
      </c>
      <c r="H114" s="13">
        <v>48</v>
      </c>
      <c r="I114" s="49" t="s">
        <v>439</v>
      </c>
      <c r="J114" s="88"/>
      <c r="K114" s="94"/>
      <c r="L114" s="73">
        <f>VLOOKUP(ProductCost[[#This Row],[Mix / Product Name]],'M - All'!$B$100:$D$330,3,FALSE)</f>
        <v>0.91082914572864315</v>
      </c>
      <c r="M114" s="19">
        <f>IFERROR(IF(OR(A114="PHF Horse Mixes",A114="Peckish",A114="Hay &amp; Straw",ProductCost[[#This Row],[Bagging Process]]=""),0,$Y$7),0)</f>
        <v>0</v>
      </c>
      <c r="N114" s="19">
        <f>IFERROR(VLOOKUP(ProductCost[[#This Row],[Bagging Process]],$W$11:$Y$20,3,FALSE),0)</f>
        <v>8.5000000000000006E-2</v>
      </c>
      <c r="O114" s="23">
        <f t="shared" si="6"/>
        <v>0</v>
      </c>
      <c r="P114" s="23">
        <f t="shared" si="7"/>
        <v>6.25E-2</v>
      </c>
      <c r="Q114" s="23">
        <f t="shared" si="8"/>
        <v>1.4583333333333333</v>
      </c>
      <c r="R114" s="227">
        <f t="shared" si="9"/>
        <v>21.437416247906196</v>
      </c>
      <c r="T114" s="96" t="str">
        <f t="shared" si="10"/>
        <v>n/a</v>
      </c>
      <c r="U114" s="114">
        <f t="shared" si="11"/>
        <v>26.8</v>
      </c>
      <c r="V114" s="4"/>
      <c r="AM114" s="1" t="str">
        <v>Canola</v>
      </c>
    </row>
    <row r="115" spans="1:39" ht="13.8" x14ac:dyDescent="0.25">
      <c r="A115" s="226" t="s">
        <v>439</v>
      </c>
      <c r="B115" s="13">
        <v>564092</v>
      </c>
      <c r="C115" s="50" t="s">
        <v>368</v>
      </c>
      <c r="D115" s="50" t="s">
        <v>501</v>
      </c>
      <c r="E115" s="13" t="s">
        <v>435</v>
      </c>
      <c r="F115" s="13"/>
      <c r="G115" s="13">
        <v>1000</v>
      </c>
      <c r="H115" s="13">
        <v>1</v>
      </c>
      <c r="I115" s="49" t="s">
        <v>439</v>
      </c>
      <c r="J115" s="88"/>
      <c r="K115" s="94"/>
      <c r="L115" s="73">
        <f>VLOOKUP(ProductCost[[#This Row],[Mix / Product Name]],'M - All'!$B$100:$D$330,3,FALSE)</f>
        <v>0.91082914572864315</v>
      </c>
      <c r="M115" s="19">
        <f>IFERROR(IF(OR(A115="PHF Horse Mixes",A115="Peckish",A115="Hay &amp; Straw",ProductCost[[#This Row],[Bagging Process]]=""),0,$Y$7),0)</f>
        <v>0</v>
      </c>
      <c r="N115" s="19">
        <f>IFERROR(VLOOKUP(ProductCost[[#This Row],[Bagging Process]],$W$11:$Y$20,3,FALSE),0)</f>
        <v>8.5000000000000006E-2</v>
      </c>
      <c r="O115" s="23">
        <f t="shared" si="6"/>
        <v>0</v>
      </c>
      <c r="P115" s="23">
        <f t="shared" si="7"/>
        <v>1.72E-2</v>
      </c>
      <c r="Q115" s="23">
        <f t="shared" si="8"/>
        <v>7.0000000000000007E-2</v>
      </c>
      <c r="R115" s="227">
        <f t="shared" si="9"/>
        <v>1.0830291457286432</v>
      </c>
      <c r="T115" s="96" t="str">
        <f t="shared" si="10"/>
        <v>n/a</v>
      </c>
      <c r="U115" s="114">
        <f t="shared" si="11"/>
        <v>1.4000000000000001</v>
      </c>
      <c r="V115" s="4"/>
      <c r="AM115" s="1" t="str">
        <v>Canola Meal</v>
      </c>
    </row>
    <row r="116" spans="1:39" ht="13.8" x14ac:dyDescent="0.25">
      <c r="A116" s="226" t="s">
        <v>439</v>
      </c>
      <c r="B116" s="13">
        <v>564093</v>
      </c>
      <c r="C116" s="50" t="s">
        <v>369</v>
      </c>
      <c r="D116" s="50" t="s">
        <v>499</v>
      </c>
      <c r="E116" s="13" t="s">
        <v>428</v>
      </c>
      <c r="F116" s="13" t="s">
        <v>429</v>
      </c>
      <c r="G116" s="13">
        <v>20</v>
      </c>
      <c r="H116" s="13">
        <v>48</v>
      </c>
      <c r="I116" s="49" t="s">
        <v>439</v>
      </c>
      <c r="J116" s="88"/>
      <c r="K116" s="94"/>
      <c r="L116" s="73">
        <f>VLOOKUP(ProductCost[[#This Row],[Mix / Product Name]],'M - All'!$B$100:$D$330,3,FALSE)</f>
        <v>0.88812410501193328</v>
      </c>
      <c r="M116" s="19">
        <f>IFERROR(IF(OR(A116="PHF Horse Mixes",A116="Peckish",A116="Hay &amp; Straw",ProductCost[[#This Row],[Bagging Process]]=""),0,$Y$7),0)</f>
        <v>0</v>
      </c>
      <c r="N116" s="19">
        <f>IFERROR(VLOOKUP(ProductCost[[#This Row],[Bagging Process]],$W$11:$Y$20,3,FALSE),0)</f>
        <v>8.5000000000000006E-2</v>
      </c>
      <c r="O116" s="23">
        <f t="shared" si="6"/>
        <v>0</v>
      </c>
      <c r="P116" s="23">
        <f t="shared" si="7"/>
        <v>6.25E-2</v>
      </c>
      <c r="Q116" s="23">
        <f t="shared" si="8"/>
        <v>1.4583333333333333</v>
      </c>
      <c r="R116" s="227">
        <f t="shared" si="9"/>
        <v>20.983315433571999</v>
      </c>
      <c r="T116" s="96" t="str">
        <f t="shared" si="10"/>
        <v>n/a</v>
      </c>
      <c r="U116" s="114">
        <f t="shared" si="11"/>
        <v>26.3</v>
      </c>
      <c r="V116" s="4"/>
      <c r="AM116" s="1" t="str">
        <v>Canola Oil</v>
      </c>
    </row>
    <row r="117" spans="1:39" ht="13.8" x14ac:dyDescent="0.25">
      <c r="A117" s="226" t="s">
        <v>439</v>
      </c>
      <c r="B117" s="13">
        <v>564094</v>
      </c>
      <c r="C117" s="50" t="s">
        <v>370</v>
      </c>
      <c r="D117" s="50" t="s">
        <v>499</v>
      </c>
      <c r="E117" s="13" t="s">
        <v>435</v>
      </c>
      <c r="F117" s="13"/>
      <c r="G117" s="13">
        <v>1000</v>
      </c>
      <c r="H117" s="13">
        <v>1</v>
      </c>
      <c r="I117" s="49" t="s">
        <v>439</v>
      </c>
      <c r="J117" s="88"/>
      <c r="K117" s="94"/>
      <c r="L117" s="73">
        <f>VLOOKUP(ProductCost[[#This Row],[Mix / Product Name]],'M - All'!$B$100:$D$330,3,FALSE)</f>
        <v>0.88812410501193328</v>
      </c>
      <c r="M117" s="19">
        <f>IFERROR(IF(OR(A117="PHF Horse Mixes",A117="Peckish",A117="Hay &amp; Straw",ProductCost[[#This Row],[Bagging Process]]=""),0,$Y$7),0)</f>
        <v>0</v>
      </c>
      <c r="N117" s="19">
        <f>IFERROR(VLOOKUP(ProductCost[[#This Row],[Bagging Process]],$W$11:$Y$20,3,FALSE),0)</f>
        <v>8.5000000000000006E-2</v>
      </c>
      <c r="O117" s="23">
        <f t="shared" si="6"/>
        <v>0</v>
      </c>
      <c r="P117" s="23">
        <f t="shared" si="7"/>
        <v>1.72E-2</v>
      </c>
      <c r="Q117" s="23">
        <f t="shared" si="8"/>
        <v>7.0000000000000007E-2</v>
      </c>
      <c r="R117" s="227">
        <f t="shared" si="9"/>
        <v>1.0603241050119332</v>
      </c>
      <c r="T117" s="96" t="str">
        <f t="shared" si="10"/>
        <v>n/a</v>
      </c>
      <c r="U117" s="114">
        <f t="shared" si="11"/>
        <v>1.4000000000000001</v>
      </c>
      <c r="V117" s="4"/>
      <c r="AM117" s="1" t="str">
        <v>Dicalicium Phosphate</v>
      </c>
    </row>
    <row r="118" spans="1:39" ht="13.8" x14ac:dyDescent="0.25">
      <c r="A118" s="226" t="s">
        <v>439</v>
      </c>
      <c r="B118" s="13">
        <v>564095</v>
      </c>
      <c r="C118" s="50" t="s">
        <v>371</v>
      </c>
      <c r="D118" s="50" t="s">
        <v>502</v>
      </c>
      <c r="E118" s="13" t="s">
        <v>428</v>
      </c>
      <c r="F118" s="13" t="s">
        <v>429</v>
      </c>
      <c r="G118" s="13">
        <v>20</v>
      </c>
      <c r="H118" s="13">
        <v>48</v>
      </c>
      <c r="I118" s="49" t="s">
        <v>439</v>
      </c>
      <c r="J118" s="88"/>
      <c r="K118" s="94"/>
      <c r="L118" s="73">
        <f>VLOOKUP(ProductCost[[#This Row],[Mix / Product Name]],'M - All'!$B$100:$D$330,3,FALSE)</f>
        <v>1.427597</v>
      </c>
      <c r="M118" s="19">
        <f>IFERROR(IF(OR(A118="PHF Horse Mixes",A118="Peckish",A118="Hay &amp; Straw",ProductCost[[#This Row],[Bagging Process]]=""),0,$Y$7),0)</f>
        <v>0</v>
      </c>
      <c r="N118" s="19">
        <f>IFERROR(VLOOKUP(ProductCost[[#This Row],[Bagging Process]],$W$11:$Y$20,3,FALSE),0)</f>
        <v>8.5000000000000006E-2</v>
      </c>
      <c r="O118" s="23">
        <f t="shared" si="6"/>
        <v>0</v>
      </c>
      <c r="P118" s="23">
        <f t="shared" si="7"/>
        <v>6.25E-2</v>
      </c>
      <c r="Q118" s="23">
        <f t="shared" si="8"/>
        <v>1.4583333333333333</v>
      </c>
      <c r="R118" s="227">
        <f t="shared" si="9"/>
        <v>31.77277333333333</v>
      </c>
      <c r="T118" s="96" t="str">
        <f t="shared" si="10"/>
        <v>n/a</v>
      </c>
      <c r="U118" s="114">
        <f t="shared" si="11"/>
        <v>39.800000000000004</v>
      </c>
      <c r="V118" s="4"/>
      <c r="AM118" s="1" t="str">
        <v>EO3 Oil</v>
      </c>
    </row>
    <row r="119" spans="1:39" ht="13.8" x14ac:dyDescent="0.25">
      <c r="A119" s="226" t="s">
        <v>439</v>
      </c>
      <c r="B119" s="13">
        <v>564096</v>
      </c>
      <c r="C119" s="50" t="s">
        <v>372</v>
      </c>
      <c r="D119" s="50" t="s">
        <v>502</v>
      </c>
      <c r="E119" s="13" t="s">
        <v>435</v>
      </c>
      <c r="F119" s="13"/>
      <c r="G119" s="13">
        <v>1000</v>
      </c>
      <c r="H119" s="13">
        <v>1</v>
      </c>
      <c r="I119" s="49" t="s">
        <v>439</v>
      </c>
      <c r="J119" s="88"/>
      <c r="K119" s="94"/>
      <c r="L119" s="73">
        <f>VLOOKUP(ProductCost[[#This Row],[Mix / Product Name]],'M - All'!$B$100:$D$330,3,FALSE)</f>
        <v>1.427597</v>
      </c>
      <c r="M119" s="19">
        <f>IFERROR(IF(OR(A119="PHF Horse Mixes",A119="Peckish",A119="Hay &amp; Straw",ProductCost[[#This Row],[Bagging Process]]=""),0,$Y$7),0)</f>
        <v>0</v>
      </c>
      <c r="N119" s="19">
        <f>IFERROR(VLOOKUP(ProductCost[[#This Row],[Bagging Process]],$W$11:$Y$20,3,FALSE),0)</f>
        <v>8.5000000000000006E-2</v>
      </c>
      <c r="O119" s="23">
        <f t="shared" si="6"/>
        <v>0</v>
      </c>
      <c r="P119" s="23">
        <f t="shared" si="7"/>
        <v>1.72E-2</v>
      </c>
      <c r="Q119" s="23">
        <f t="shared" si="8"/>
        <v>7.0000000000000007E-2</v>
      </c>
      <c r="R119" s="227">
        <f t="shared" si="9"/>
        <v>1.5997970000000001</v>
      </c>
      <c r="T119" s="96" t="str">
        <f t="shared" si="10"/>
        <v>n/a</v>
      </c>
      <c r="U119" s="114">
        <f t="shared" si="11"/>
        <v>2</v>
      </c>
      <c r="V119" s="4"/>
      <c r="AM119" s="1" t="str">
        <v>Equijewel</v>
      </c>
    </row>
    <row r="120" spans="1:39" ht="13.8" x14ac:dyDescent="0.25">
      <c r="A120" s="226" t="s">
        <v>439</v>
      </c>
      <c r="B120" s="13">
        <v>564231</v>
      </c>
      <c r="C120" s="50" t="s">
        <v>118</v>
      </c>
      <c r="D120" s="50" t="s">
        <v>502</v>
      </c>
      <c r="E120" s="13" t="s">
        <v>428</v>
      </c>
      <c r="F120" s="13" t="s">
        <v>429</v>
      </c>
      <c r="G120" s="13">
        <v>20</v>
      </c>
      <c r="H120" s="13">
        <v>48</v>
      </c>
      <c r="I120" s="49" t="s">
        <v>439</v>
      </c>
      <c r="J120" s="88"/>
      <c r="K120" s="94"/>
      <c r="L120" s="73">
        <f>VLOOKUP(ProductCost[[#This Row],[Mix / Product Name]],'M - All'!$B$100:$D$330,3,FALSE)</f>
        <v>1.427597</v>
      </c>
      <c r="M120" s="19">
        <f>IFERROR(IF(OR(A120="PHF Horse Mixes",A120="Peckish",A120="Hay &amp; Straw",ProductCost[[#This Row],[Bagging Process]]=""),0,$Y$7),0)</f>
        <v>0</v>
      </c>
      <c r="N120" s="19">
        <f>IFERROR(VLOOKUP(ProductCost[[#This Row],[Bagging Process]],$W$11:$Y$20,3,FALSE),0)</f>
        <v>8.5000000000000006E-2</v>
      </c>
      <c r="O120" s="23">
        <f t="shared" si="6"/>
        <v>0</v>
      </c>
      <c r="P120" s="23">
        <f t="shared" si="7"/>
        <v>6.25E-2</v>
      </c>
      <c r="Q120" s="23">
        <f t="shared" si="8"/>
        <v>1.4583333333333333</v>
      </c>
      <c r="R120" s="227">
        <f t="shared" si="9"/>
        <v>31.77277333333333</v>
      </c>
      <c r="T120" s="96" t="str">
        <f t="shared" si="10"/>
        <v>n/a</v>
      </c>
      <c r="U120" s="114">
        <f t="shared" si="11"/>
        <v>39.800000000000004</v>
      </c>
      <c r="V120" s="4"/>
      <c r="AM120" s="1" t="str">
        <v>Fibre Phase</v>
      </c>
    </row>
    <row r="121" spans="1:39" ht="13.8" x14ac:dyDescent="0.25">
      <c r="A121" s="226" t="s">
        <v>439</v>
      </c>
      <c r="B121" s="13">
        <v>564294</v>
      </c>
      <c r="C121" s="50" t="s">
        <v>378</v>
      </c>
      <c r="D121" s="50" t="s">
        <v>510</v>
      </c>
      <c r="E121" s="13" t="s">
        <v>428</v>
      </c>
      <c r="F121" s="13" t="s">
        <v>429</v>
      </c>
      <c r="G121" s="13">
        <v>20</v>
      </c>
      <c r="H121" s="13">
        <v>48</v>
      </c>
      <c r="I121" s="49" t="s">
        <v>439</v>
      </c>
      <c r="J121" s="88"/>
      <c r="K121" s="94"/>
      <c r="L121" s="73">
        <f>VLOOKUP(ProductCost[[#This Row],[Mix / Product Name]],'M - All'!$B$100:$D$330,3,FALSE)</f>
        <v>0.96711800000000014</v>
      </c>
      <c r="M121" s="19">
        <f>IFERROR(IF(OR(A121="PHF Horse Mixes",A121="Peckish",A121="Hay &amp; Straw",ProductCost[[#This Row],[Bagging Process]]=""),0,$Y$7),0)</f>
        <v>0</v>
      </c>
      <c r="N121" s="19">
        <f>IFERROR(VLOOKUP(ProductCost[[#This Row],[Bagging Process]],$W$11:$Y$20,3,FALSE),0)</f>
        <v>8.5000000000000006E-2</v>
      </c>
      <c r="O121" s="23">
        <f t="shared" si="6"/>
        <v>0</v>
      </c>
      <c r="P121" s="23">
        <f t="shared" si="7"/>
        <v>6.25E-2</v>
      </c>
      <c r="Q121" s="23">
        <f t="shared" si="8"/>
        <v>1.4583333333333333</v>
      </c>
      <c r="R121" s="227">
        <f t="shared" si="9"/>
        <v>22.563193333333334</v>
      </c>
      <c r="T121" s="96" t="str">
        <f t="shared" si="10"/>
        <v>n/a</v>
      </c>
      <c r="U121" s="114">
        <f t="shared" si="11"/>
        <v>28.3</v>
      </c>
      <c r="V121" s="4"/>
      <c r="AM121" s="1" t="str">
        <v>Grey Sunflowers</v>
      </c>
    </row>
    <row r="122" spans="1:39" ht="13.8" x14ac:dyDescent="0.25">
      <c r="A122" s="226" t="s">
        <v>439</v>
      </c>
      <c r="B122" s="13">
        <v>564295</v>
      </c>
      <c r="C122" s="50" t="s">
        <v>379</v>
      </c>
      <c r="D122" s="50" t="s">
        <v>510</v>
      </c>
      <c r="E122" s="13" t="s">
        <v>435</v>
      </c>
      <c r="F122" s="13"/>
      <c r="G122" s="13">
        <v>1000</v>
      </c>
      <c r="H122" s="13">
        <v>1</v>
      </c>
      <c r="I122" s="49" t="s">
        <v>439</v>
      </c>
      <c r="J122" s="88"/>
      <c r="K122" s="94"/>
      <c r="L122" s="73">
        <f>VLOOKUP(ProductCost[[#This Row],[Mix / Product Name]],'M - All'!$B$100:$D$330,3,FALSE)</f>
        <v>0.96711800000000014</v>
      </c>
      <c r="M122" s="19">
        <f>IFERROR(IF(OR(A122="PHF Horse Mixes",A122="Peckish",A122="Hay &amp; Straw",ProductCost[[#This Row],[Bagging Process]]=""),0,$Y$7),0)</f>
        <v>0</v>
      </c>
      <c r="N122" s="19">
        <f>IFERROR(VLOOKUP(ProductCost[[#This Row],[Bagging Process]],$W$11:$Y$20,3,FALSE),0)</f>
        <v>8.5000000000000006E-2</v>
      </c>
      <c r="O122" s="23">
        <f t="shared" si="6"/>
        <v>0</v>
      </c>
      <c r="P122" s="23">
        <f t="shared" si="7"/>
        <v>1.72E-2</v>
      </c>
      <c r="Q122" s="23">
        <f t="shared" si="8"/>
        <v>7.0000000000000007E-2</v>
      </c>
      <c r="R122" s="227">
        <f t="shared" si="9"/>
        <v>1.1393180000000003</v>
      </c>
      <c r="T122" s="96" t="str">
        <f t="shared" si="10"/>
        <v>n/a</v>
      </c>
      <c r="U122" s="114">
        <f t="shared" si="11"/>
        <v>1.5</v>
      </c>
      <c r="V122" s="4"/>
      <c r="AM122" s="1" t="str">
        <v>Hard Wheat</v>
      </c>
    </row>
    <row r="123" spans="1:39" ht="13.8" x14ac:dyDescent="0.25">
      <c r="A123" s="226" t="s">
        <v>439</v>
      </c>
      <c r="B123" s="13">
        <v>564130</v>
      </c>
      <c r="C123" s="50" t="s">
        <v>375</v>
      </c>
      <c r="D123" s="50" t="s">
        <v>509</v>
      </c>
      <c r="E123" s="13" t="s">
        <v>435</v>
      </c>
      <c r="F123" s="13"/>
      <c r="G123" s="13">
        <v>1000</v>
      </c>
      <c r="H123" s="13">
        <v>1</v>
      </c>
      <c r="I123" s="49" t="s">
        <v>439</v>
      </c>
      <c r="J123" s="88"/>
      <c r="K123" s="94"/>
      <c r="L123" s="73">
        <f>VLOOKUP(ProductCost[[#This Row],[Mix / Product Name]],'M - All'!$B$100:$D$330,3,FALSE)</f>
        <v>1.01761225</v>
      </c>
      <c r="M123" s="19">
        <f>IFERROR(IF(OR(A123="PHF Horse Mixes",A123="Peckish",A123="Hay &amp; Straw",ProductCost[[#This Row],[Bagging Process]]=""),0,$Y$7),0)</f>
        <v>0</v>
      </c>
      <c r="N123" s="19">
        <f>IFERROR(VLOOKUP(ProductCost[[#This Row],[Bagging Process]],$W$11:$Y$20,3,FALSE),0)</f>
        <v>8.5000000000000006E-2</v>
      </c>
      <c r="O123" s="23">
        <f t="shared" si="6"/>
        <v>0</v>
      </c>
      <c r="P123" s="23">
        <f t="shared" si="7"/>
        <v>1.72E-2</v>
      </c>
      <c r="Q123" s="23">
        <f t="shared" si="8"/>
        <v>7.0000000000000007E-2</v>
      </c>
      <c r="R123" s="227">
        <f t="shared" si="9"/>
        <v>1.1898122500000001</v>
      </c>
      <c r="T123" s="96" t="str">
        <f t="shared" si="10"/>
        <v>n/a</v>
      </c>
      <c r="U123" s="114">
        <f t="shared" si="11"/>
        <v>1.5</v>
      </c>
      <c r="V123" s="4"/>
      <c r="AM123" s="1" t="str">
        <v>Hulled Oats</v>
      </c>
    </row>
    <row r="124" spans="1:39" ht="13.8" x14ac:dyDescent="0.25">
      <c r="A124" s="226" t="s">
        <v>439</v>
      </c>
      <c r="B124" s="13">
        <v>564132</v>
      </c>
      <c r="C124" s="50" t="s">
        <v>377</v>
      </c>
      <c r="D124" s="50" t="s">
        <v>499</v>
      </c>
      <c r="E124" s="13" t="s">
        <v>435</v>
      </c>
      <c r="F124" s="13"/>
      <c r="G124" s="13">
        <v>1000</v>
      </c>
      <c r="H124" s="13">
        <v>1</v>
      </c>
      <c r="I124" s="49" t="s">
        <v>439</v>
      </c>
      <c r="J124" s="88"/>
      <c r="K124" s="94"/>
      <c r="L124" s="73">
        <f>VLOOKUP(ProductCost[[#This Row],[Mix / Product Name]],'M - All'!$B$100:$D$330,3,FALSE)</f>
        <v>0.88812410501193328</v>
      </c>
      <c r="M124" s="19">
        <f>IFERROR(IF(OR(A124="PHF Horse Mixes",A124="Peckish",A124="Hay &amp; Straw",ProductCost[[#This Row],[Bagging Process]]=""),0,$Y$7),0)</f>
        <v>0</v>
      </c>
      <c r="N124" s="19">
        <f>IFERROR(VLOOKUP(ProductCost[[#This Row],[Bagging Process]],$W$11:$Y$20,3,FALSE),0)</f>
        <v>8.5000000000000006E-2</v>
      </c>
      <c r="O124" s="23">
        <f t="shared" si="6"/>
        <v>0</v>
      </c>
      <c r="P124" s="23">
        <f t="shared" si="7"/>
        <v>1.72E-2</v>
      </c>
      <c r="Q124" s="23">
        <f t="shared" si="8"/>
        <v>7.0000000000000007E-2</v>
      </c>
      <c r="R124" s="227">
        <f t="shared" si="9"/>
        <v>1.0603241050119332</v>
      </c>
      <c r="T124" s="96" t="str">
        <f t="shared" si="10"/>
        <v>n/a</v>
      </c>
      <c r="U124" s="114">
        <f t="shared" si="11"/>
        <v>1.4000000000000001</v>
      </c>
      <c r="V124" s="4"/>
      <c r="AM124" s="1" t="str">
        <v>KER Gold</v>
      </c>
    </row>
    <row r="125" spans="1:39" ht="13.8" x14ac:dyDescent="0.25">
      <c r="A125" s="226" t="s">
        <v>439</v>
      </c>
      <c r="B125" s="13">
        <v>578050</v>
      </c>
      <c r="C125" s="50" t="s">
        <v>120</v>
      </c>
      <c r="D125" s="50" t="s">
        <v>522</v>
      </c>
      <c r="E125" s="13" t="s">
        <v>428</v>
      </c>
      <c r="F125" s="13" t="s">
        <v>429</v>
      </c>
      <c r="G125" s="13">
        <v>15</v>
      </c>
      <c r="H125" s="13">
        <v>66</v>
      </c>
      <c r="I125" s="49" t="s">
        <v>439</v>
      </c>
      <c r="J125" s="88"/>
      <c r="K125" s="94"/>
      <c r="L125" s="73">
        <f>VLOOKUP(ProductCost[[#This Row],[Mix / Product Name]],'M - All'!$B$100:$D$330,3,FALSE)</f>
        <v>0.91243181000000007</v>
      </c>
      <c r="M125" s="19">
        <f>IFERROR(IF(OR(A125="PHF Horse Mixes",A125="Peckish",A125="Hay &amp; Straw",ProductCost[[#This Row],[Bagging Process]]=""),0,$Y$7),0)</f>
        <v>0</v>
      </c>
      <c r="N125" s="19">
        <f>IFERROR(VLOOKUP(ProductCost[[#This Row],[Bagging Process]],$W$11:$Y$20,3,FALSE),0)</f>
        <v>8.5000000000000006E-2</v>
      </c>
      <c r="O125" s="23">
        <f t="shared" si="6"/>
        <v>0</v>
      </c>
      <c r="P125" s="23">
        <f t="shared" si="7"/>
        <v>6.25E-2</v>
      </c>
      <c r="Q125" s="23">
        <f t="shared" si="8"/>
        <v>1.0606060606060606</v>
      </c>
      <c r="R125" s="227">
        <f t="shared" si="9"/>
        <v>16.084583210606063</v>
      </c>
      <c r="T125" s="96" t="str">
        <f t="shared" si="10"/>
        <v>n/a</v>
      </c>
      <c r="U125" s="114">
        <f t="shared" si="11"/>
        <v>20.200000000000003</v>
      </c>
      <c r="V125" s="4"/>
      <c r="AM125" s="1" t="str">
        <v>Last bag of pigeon mix</v>
      </c>
    </row>
    <row r="126" spans="1:39" ht="13.8" x14ac:dyDescent="0.25">
      <c r="A126" s="226" t="s">
        <v>439</v>
      </c>
      <c r="B126" s="13">
        <v>578051</v>
      </c>
      <c r="C126" s="50" t="s">
        <v>404</v>
      </c>
      <c r="D126" s="50" t="s">
        <v>522</v>
      </c>
      <c r="E126" s="13" t="s">
        <v>435</v>
      </c>
      <c r="F126" s="13"/>
      <c r="G126" s="13">
        <v>1000</v>
      </c>
      <c r="H126" s="13">
        <v>1</v>
      </c>
      <c r="I126" s="49" t="s">
        <v>439</v>
      </c>
      <c r="J126" s="88"/>
      <c r="K126" s="94"/>
      <c r="L126" s="73">
        <f>VLOOKUP(ProductCost[[#This Row],[Mix / Product Name]],'M - All'!$B$100:$D$330,3,FALSE)</f>
        <v>0.91243181000000007</v>
      </c>
      <c r="M126" s="19">
        <f>IFERROR(IF(OR(A126="PHF Horse Mixes",A126="Peckish",A126="Hay &amp; Straw",ProductCost[[#This Row],[Bagging Process]]=""),0,$Y$7),0)</f>
        <v>0</v>
      </c>
      <c r="N126" s="19">
        <f>IFERROR(VLOOKUP(ProductCost[[#This Row],[Bagging Process]],$W$11:$Y$20,3,FALSE),0)</f>
        <v>8.5000000000000006E-2</v>
      </c>
      <c r="O126" s="23">
        <f t="shared" si="6"/>
        <v>0</v>
      </c>
      <c r="P126" s="23">
        <f t="shared" si="7"/>
        <v>1.72E-2</v>
      </c>
      <c r="Q126" s="23">
        <f t="shared" si="8"/>
        <v>7.0000000000000007E-2</v>
      </c>
      <c r="R126" s="227">
        <f t="shared" si="9"/>
        <v>1.0846318100000001</v>
      </c>
      <c r="T126" s="96" t="str">
        <f t="shared" si="10"/>
        <v>n/a</v>
      </c>
      <c r="U126" s="114">
        <f t="shared" si="11"/>
        <v>1.4000000000000001</v>
      </c>
      <c r="V126" s="4"/>
      <c r="AM126" s="1" t="str">
        <v>Layer Protein Pellets</v>
      </c>
    </row>
    <row r="127" spans="1:39" ht="13.8" x14ac:dyDescent="0.25">
      <c r="A127" s="226" t="s">
        <v>439</v>
      </c>
      <c r="B127" s="13">
        <v>576968</v>
      </c>
      <c r="C127" s="50" t="s">
        <v>401</v>
      </c>
      <c r="D127" s="50" t="s">
        <v>508</v>
      </c>
      <c r="E127" s="13" t="s">
        <v>428</v>
      </c>
      <c r="F127" s="13" t="s">
        <v>429</v>
      </c>
      <c r="G127" s="13">
        <v>20</v>
      </c>
      <c r="H127" s="13">
        <v>48</v>
      </c>
      <c r="I127" s="49" t="s">
        <v>439</v>
      </c>
      <c r="J127" s="88"/>
      <c r="K127" s="94"/>
      <c r="L127" s="73">
        <f>VLOOKUP(ProductCost[[#This Row],[Mix / Product Name]],'M - All'!$B$100:$D$330,3,FALSE)</f>
        <v>0.89027512690355326</v>
      </c>
      <c r="M127" s="19">
        <f>IFERROR(IF(OR(A127="PHF Horse Mixes",A127="Peckish",A127="Hay &amp; Straw",ProductCost[[#This Row],[Bagging Process]]=""),0,$Y$7),0)</f>
        <v>0</v>
      </c>
      <c r="N127" s="19">
        <f>IFERROR(VLOOKUP(ProductCost[[#This Row],[Bagging Process]],$W$11:$Y$20,3,FALSE),0)</f>
        <v>8.5000000000000006E-2</v>
      </c>
      <c r="O127" s="23">
        <f t="shared" si="6"/>
        <v>0</v>
      </c>
      <c r="P127" s="23">
        <f t="shared" si="7"/>
        <v>6.25E-2</v>
      </c>
      <c r="Q127" s="23">
        <f t="shared" si="8"/>
        <v>1.4583333333333333</v>
      </c>
      <c r="R127" s="227">
        <f t="shared" si="9"/>
        <v>21.026335871404395</v>
      </c>
      <c r="T127" s="96" t="str">
        <f t="shared" si="10"/>
        <v>n/a</v>
      </c>
      <c r="U127" s="114">
        <f t="shared" si="11"/>
        <v>26.3</v>
      </c>
      <c r="V127" s="4"/>
      <c r="AM127" s="1" t="str">
        <v>Limestone</v>
      </c>
    </row>
    <row r="128" spans="1:39" ht="13.8" x14ac:dyDescent="0.25">
      <c r="A128" s="226" t="s">
        <v>439</v>
      </c>
      <c r="B128" s="13">
        <v>577383</v>
      </c>
      <c r="C128" s="50" t="s">
        <v>403</v>
      </c>
      <c r="D128" s="50" t="s">
        <v>523</v>
      </c>
      <c r="E128" s="13" t="s">
        <v>435</v>
      </c>
      <c r="F128" s="13"/>
      <c r="G128" s="13">
        <v>1000</v>
      </c>
      <c r="H128" s="13">
        <v>1</v>
      </c>
      <c r="I128" s="49" t="s">
        <v>439</v>
      </c>
      <c r="J128" s="88"/>
      <c r="K128" s="94"/>
      <c r="L128" s="73">
        <f>VLOOKUP(ProductCost[[#This Row],[Mix / Product Name]],'M - All'!$B$100:$D$330,3,FALSE)</f>
        <v>1.5531322601073225</v>
      </c>
      <c r="M128" s="19">
        <f>IFERROR(IF(OR(A128="PHF Horse Mixes",A128="Peckish",A128="Hay &amp; Straw",ProductCost[[#This Row],[Bagging Process]]=""),0,$Y$7),0)</f>
        <v>0</v>
      </c>
      <c r="N128" s="19">
        <f>IFERROR(VLOOKUP(ProductCost[[#This Row],[Bagging Process]],$W$11:$Y$20,3,FALSE),0)</f>
        <v>8.5000000000000006E-2</v>
      </c>
      <c r="O128" s="23">
        <f t="shared" si="6"/>
        <v>0</v>
      </c>
      <c r="P128" s="23">
        <f t="shared" si="7"/>
        <v>1.72E-2</v>
      </c>
      <c r="Q128" s="23">
        <f t="shared" si="8"/>
        <v>7.0000000000000007E-2</v>
      </c>
      <c r="R128" s="227">
        <f t="shared" si="9"/>
        <v>1.7253322601073227</v>
      </c>
      <c r="T128" s="96" t="str">
        <f t="shared" si="10"/>
        <v>n/a</v>
      </c>
      <c r="U128" s="114">
        <f t="shared" si="11"/>
        <v>2.2000000000000002</v>
      </c>
      <c r="V128" s="4"/>
      <c r="AM128" s="1" t="str">
        <v>Linseed</v>
      </c>
    </row>
    <row r="129" spans="1:39" ht="13.8" x14ac:dyDescent="0.25">
      <c r="A129" s="226" t="s">
        <v>439</v>
      </c>
      <c r="B129" s="13">
        <v>564128</v>
      </c>
      <c r="C129" s="50" t="s">
        <v>373</v>
      </c>
      <c r="D129" s="63"/>
      <c r="E129" s="13" t="s">
        <v>435</v>
      </c>
      <c r="F129" s="13"/>
      <c r="G129" s="13">
        <v>1000</v>
      </c>
      <c r="H129" s="13">
        <v>1</v>
      </c>
      <c r="I129" s="49" t="s">
        <v>439</v>
      </c>
      <c r="J129" s="88"/>
      <c r="K129" s="94"/>
      <c r="L129" s="73" t="e">
        <f>VLOOKUP(ProductCost[[#This Row],[Mix / Product Name]],'M - All'!$B$100:$D$330,3,FALSE)</f>
        <v>#N/A</v>
      </c>
      <c r="M129" s="19">
        <f>IFERROR(IF(OR(A129="PHF Horse Mixes",A129="Peckish",A129="Hay &amp; Straw",ProductCost[[#This Row],[Bagging Process]]=""),0,$Y$7),0)</f>
        <v>0</v>
      </c>
      <c r="N129" s="19">
        <f>IFERROR(VLOOKUP(ProductCost[[#This Row],[Bagging Process]],$W$11:$Y$20,3,FALSE),0)</f>
        <v>8.5000000000000006E-2</v>
      </c>
      <c r="O129" s="23">
        <f t="shared" si="6"/>
        <v>0</v>
      </c>
      <c r="P129" s="23">
        <f t="shared" si="7"/>
        <v>1.72E-2</v>
      </c>
      <c r="Q129" s="23">
        <f t="shared" si="8"/>
        <v>7.0000000000000007E-2</v>
      </c>
      <c r="R129" s="227" t="e">
        <f t="shared" si="9"/>
        <v>#N/A</v>
      </c>
      <c r="T129" s="96" t="str">
        <f t="shared" si="10"/>
        <v>n/a</v>
      </c>
      <c r="U129" s="114" t="str">
        <f t="shared" si="11"/>
        <v>n/a</v>
      </c>
      <c r="V129" s="4"/>
      <c r="AM129" s="1" t="str">
        <v>Lucerne Chaff</v>
      </c>
    </row>
    <row r="130" spans="1:39" ht="13.8" x14ac:dyDescent="0.25">
      <c r="A130" s="226" t="s">
        <v>439</v>
      </c>
      <c r="B130" s="13">
        <v>564129</v>
      </c>
      <c r="C130" s="50" t="s">
        <v>374</v>
      </c>
      <c r="D130" s="63"/>
      <c r="E130" s="13" t="s">
        <v>428</v>
      </c>
      <c r="F130" s="13" t="s">
        <v>429</v>
      </c>
      <c r="G130" s="13">
        <v>20</v>
      </c>
      <c r="H130" s="13">
        <v>48</v>
      </c>
      <c r="I130" s="49" t="s">
        <v>439</v>
      </c>
      <c r="J130" s="88"/>
      <c r="K130" s="94"/>
      <c r="L130" s="73" t="e">
        <f>VLOOKUP(ProductCost[[#This Row],[Mix / Product Name]],'M - All'!$B$100:$D$330,3,FALSE)</f>
        <v>#N/A</v>
      </c>
      <c r="M130" s="19">
        <f>IFERROR(IF(OR(A130="PHF Horse Mixes",A130="Peckish",A130="Hay &amp; Straw",ProductCost[[#This Row],[Bagging Process]]=""),0,$Y$7),0)</f>
        <v>0</v>
      </c>
      <c r="N130" s="19">
        <f>IFERROR(VLOOKUP(ProductCost[[#This Row],[Bagging Process]],$W$11:$Y$20,3,FALSE),0)</f>
        <v>8.5000000000000006E-2</v>
      </c>
      <c r="O130" s="23">
        <f t="shared" si="6"/>
        <v>0</v>
      </c>
      <c r="P130" s="23">
        <f t="shared" si="7"/>
        <v>6.25E-2</v>
      </c>
      <c r="Q130" s="23">
        <f t="shared" si="8"/>
        <v>1.4583333333333333</v>
      </c>
      <c r="R130" s="227" t="e">
        <f t="shared" si="9"/>
        <v>#N/A</v>
      </c>
      <c r="T130" s="96" t="str">
        <f t="shared" si="10"/>
        <v>n/a</v>
      </c>
      <c r="U130" s="114" t="str">
        <f t="shared" si="11"/>
        <v>n/a</v>
      </c>
      <c r="V130" s="4"/>
      <c r="AM130" s="1" t="str">
        <v>Lucerne Hay</v>
      </c>
    </row>
    <row r="131" spans="1:39" ht="13.8" x14ac:dyDescent="0.25">
      <c r="A131" s="226" t="s">
        <v>439</v>
      </c>
      <c r="B131" s="13">
        <v>564131</v>
      </c>
      <c r="C131" s="50" t="s">
        <v>376</v>
      </c>
      <c r="D131" s="50" t="s">
        <v>509</v>
      </c>
      <c r="E131" s="13" t="s">
        <v>435</v>
      </c>
      <c r="F131" s="13"/>
      <c r="G131" s="13">
        <v>1000</v>
      </c>
      <c r="H131" s="13">
        <v>1</v>
      </c>
      <c r="I131" s="49" t="s">
        <v>439</v>
      </c>
      <c r="J131" s="88"/>
      <c r="K131" s="94"/>
      <c r="L131" s="73">
        <f>VLOOKUP(ProductCost[[#This Row],[Mix / Product Name]],'M - All'!$B$100:$D$330,3,FALSE)</f>
        <v>1.01761225</v>
      </c>
      <c r="M131" s="19">
        <f>IFERROR(IF(OR(A131="PHF Horse Mixes",A131="Peckish",A131="Hay &amp; Straw",ProductCost[[#This Row],[Bagging Process]]=""),0,$Y$7),0)</f>
        <v>0</v>
      </c>
      <c r="N131" s="19">
        <f>IFERROR(VLOOKUP(ProductCost[[#This Row],[Bagging Process]],$W$11:$Y$20,3,FALSE),0)</f>
        <v>8.5000000000000006E-2</v>
      </c>
      <c r="O131" s="23">
        <f t="shared" si="6"/>
        <v>0</v>
      </c>
      <c r="P131" s="23">
        <f t="shared" si="7"/>
        <v>1.72E-2</v>
      </c>
      <c r="Q131" s="23">
        <f t="shared" si="8"/>
        <v>7.0000000000000007E-2</v>
      </c>
      <c r="R131" s="227">
        <f t="shared" si="9"/>
        <v>1.1898122500000001</v>
      </c>
      <c r="T131" s="96" t="str">
        <f t="shared" si="10"/>
        <v>n/a</v>
      </c>
      <c r="U131" s="114">
        <f t="shared" si="11"/>
        <v>1.5</v>
      </c>
      <c r="V131" s="4"/>
      <c r="AM131" s="1" t="str">
        <v>Lucerne Pellet</v>
      </c>
    </row>
    <row r="132" spans="1:39" ht="13.8" x14ac:dyDescent="0.25">
      <c r="A132" s="226" t="s">
        <v>439</v>
      </c>
      <c r="B132" s="13">
        <v>563525</v>
      </c>
      <c r="C132" s="50" t="s">
        <v>326</v>
      </c>
      <c r="D132" s="50" t="s">
        <v>513</v>
      </c>
      <c r="E132" s="13" t="s">
        <v>428</v>
      </c>
      <c r="F132" s="13" t="s">
        <v>429</v>
      </c>
      <c r="G132" s="13">
        <v>20</v>
      </c>
      <c r="H132" s="13">
        <v>48</v>
      </c>
      <c r="I132" s="49" t="s">
        <v>439</v>
      </c>
      <c r="J132" s="88"/>
      <c r="K132" s="94"/>
      <c r="L132" s="73">
        <f>VLOOKUP(ProductCost[[#This Row],[Mix / Product Name]],'M - All'!$B$100:$D$330,3,FALSE)</f>
        <v>0.92927749999999998</v>
      </c>
      <c r="M132" s="19">
        <f>IFERROR(IF(OR(A132="PHF Horse Mixes",A132="Peckish",A132="Hay &amp; Straw",ProductCost[[#This Row],[Bagging Process]]=""),0,$Y$7),0)</f>
        <v>0</v>
      </c>
      <c r="N132" s="19">
        <f>IFERROR(VLOOKUP(ProductCost[[#This Row],[Bagging Process]],$W$11:$Y$20,3,FALSE),0)</f>
        <v>8.5000000000000006E-2</v>
      </c>
      <c r="O132" s="23">
        <f t="shared" si="6"/>
        <v>0</v>
      </c>
      <c r="P132" s="23">
        <f t="shared" si="7"/>
        <v>6.25E-2</v>
      </c>
      <c r="Q132" s="23">
        <f t="shared" si="8"/>
        <v>1.4583333333333333</v>
      </c>
      <c r="R132" s="227">
        <f t="shared" si="9"/>
        <v>21.806383333333333</v>
      </c>
      <c r="T132" s="96" t="str">
        <f t="shared" si="10"/>
        <v>n/a</v>
      </c>
      <c r="U132" s="114">
        <f t="shared" si="11"/>
        <v>27.3</v>
      </c>
      <c r="V132" s="4"/>
      <c r="AM132" s="1" t="str">
        <v>Lupins</v>
      </c>
    </row>
    <row r="133" spans="1:39" ht="13.8" x14ac:dyDescent="0.25">
      <c r="A133" s="226" t="s">
        <v>439</v>
      </c>
      <c r="B133" s="13"/>
      <c r="C133" s="240" t="s">
        <v>524</v>
      </c>
      <c r="D133" s="50" t="s">
        <v>525</v>
      </c>
      <c r="E133" s="13" t="s">
        <v>428</v>
      </c>
      <c r="F133" s="13" t="s">
        <v>429</v>
      </c>
      <c r="G133" s="13">
        <v>20</v>
      </c>
      <c r="H133" s="13">
        <v>48</v>
      </c>
      <c r="I133" s="49" t="s">
        <v>439</v>
      </c>
      <c r="J133" s="88"/>
      <c r="K133" s="94"/>
      <c r="L133" s="73">
        <f>VLOOKUP(ProductCost[[#This Row],[Mix / Product Name]],'M - All'!$B$100:$D$330,3,FALSE)</f>
        <v>1.3575328100000001</v>
      </c>
      <c r="M133" s="19">
        <f>IFERROR(IF(OR(A133="PHF Horse Mixes",A133="Peckish",A133="Hay &amp; Straw",ProductCost[[#This Row],[Bagging Process]]=""),0,$Y$7),0)</f>
        <v>0</v>
      </c>
      <c r="N133" s="19">
        <f>IFERROR(VLOOKUP(ProductCost[[#This Row],[Bagging Process]],$W$11:$Y$20,3,FALSE),0)</f>
        <v>8.5000000000000006E-2</v>
      </c>
      <c r="O133" s="23">
        <f t="shared" ref="O133:O196" si="12">IF(ISNUMBER(SEARCH("Cracked",C133)),$Y$8,0)</f>
        <v>0</v>
      </c>
      <c r="P133" s="23">
        <f t="shared" ref="P133:P196" si="13">IF(A133="Peckish",$X$28,IF(E133="1.5 kg",$X$27,IF(F133= "No bag",0,IF(E133="Standard",$X$24,$X$25/G133)+IF(F133="Yes",-$X$26,0))))</f>
        <v>6.25E-2</v>
      </c>
      <c r="Q133" s="23">
        <f t="shared" ref="Q133:Q196" si="14">IF(A133="Peckish",$X$36/H133,IF(A133="Hay &amp; Straw",$X$37/H133,IF(OR(E133="Standard",E133="Per Unit"),$X$35/H133,IF(E133="Bulka",$X$35/G133,$X$35/1000*G133))))</f>
        <v>1.4583333333333333</v>
      </c>
      <c r="R133" s="227">
        <f t="shared" ref="R133:R196" si="15">IF(E133="Standard",SUM(L133:O133)*G133+SUM(P133:Q133),IF(OR(E133="Bulka",E133="Per Unit"),SUM(L133:Q133),(SUM(L133:O133)*G133+SUM(P133:Q133))*8))</f>
        <v>30.371489533333335</v>
      </c>
      <c r="T133" s="96" t="str">
        <f t="shared" ref="T133:T196" si="16">IFERROR(IF(J133="",R133/(1-VLOOKUP(A133,$AA$7:$AC$21,2,FALSE)),R133/(1-J133)),"n/a")</f>
        <v>n/a</v>
      </c>
      <c r="U133" s="114">
        <f t="shared" ref="U133:U196" si="17">IFERROR(IF(AND(A133="Straight Grain",E133="Bulka"),ROUNDUP(IF(K133="",R133/(1-VLOOKUP(A133,$AA$7:$AC$21,3,FALSE)),R133/(1-K133)),2),ROUNDUP(IF(K133="",R133/(1-VLOOKUP(A133,$AA$7:$AC$21,3,FALSE)),R133/(1-K133)),1)),"n/a")</f>
        <v>38</v>
      </c>
      <c r="V133" s="4"/>
      <c r="AM133" s="1" t="str">
        <v>Maize</v>
      </c>
    </row>
    <row r="134" spans="1:39" ht="13.8" x14ac:dyDescent="0.25">
      <c r="A134" s="226" t="s">
        <v>439</v>
      </c>
      <c r="B134" s="13"/>
      <c r="C134" s="240" t="s">
        <v>526</v>
      </c>
      <c r="D134" s="50" t="s">
        <v>525</v>
      </c>
      <c r="E134" s="13" t="s">
        <v>435</v>
      </c>
      <c r="F134" s="13"/>
      <c r="G134" s="13">
        <v>1000</v>
      </c>
      <c r="H134" s="13">
        <v>1</v>
      </c>
      <c r="I134" s="49" t="s">
        <v>439</v>
      </c>
      <c r="J134" s="88"/>
      <c r="K134" s="94"/>
      <c r="L134" s="73">
        <f>VLOOKUP(ProductCost[[#This Row],[Mix / Product Name]],'M - All'!$B$100:$D$330,3,FALSE)</f>
        <v>1.3575328100000001</v>
      </c>
      <c r="M134" s="19">
        <f>IFERROR(IF(OR(A134="PHF Horse Mixes",A134="Peckish",A134="Hay &amp; Straw",ProductCost[[#This Row],[Bagging Process]]=""),0,$Y$7),0)</f>
        <v>0</v>
      </c>
      <c r="N134" s="19">
        <f>IFERROR(VLOOKUP(ProductCost[[#This Row],[Bagging Process]],$W$11:$Y$20,3,FALSE),0)</f>
        <v>8.5000000000000006E-2</v>
      </c>
      <c r="O134" s="23">
        <f t="shared" si="12"/>
        <v>0</v>
      </c>
      <c r="P134" s="23">
        <f t="shared" si="13"/>
        <v>1.72E-2</v>
      </c>
      <c r="Q134" s="23">
        <f t="shared" si="14"/>
        <v>7.0000000000000007E-2</v>
      </c>
      <c r="R134" s="227">
        <f t="shared" si="15"/>
        <v>1.5297328100000003</v>
      </c>
      <c r="T134" s="96" t="str">
        <f t="shared" si="16"/>
        <v>n/a</v>
      </c>
      <c r="U134" s="114">
        <f t="shared" si="17"/>
        <v>2</v>
      </c>
      <c r="V134" s="4"/>
      <c r="AM134" s="1" t="str">
        <v>Medium Shell Grit</v>
      </c>
    </row>
    <row r="135" spans="1:39" ht="13.8" x14ac:dyDescent="0.25">
      <c r="A135" s="226" t="s">
        <v>443</v>
      </c>
      <c r="B135" s="13">
        <v>565667</v>
      </c>
      <c r="C135" s="50" t="s">
        <v>386</v>
      </c>
      <c r="D135" s="50" t="s">
        <v>527</v>
      </c>
      <c r="E135" s="13" t="s">
        <v>428</v>
      </c>
      <c r="F135" s="13"/>
      <c r="G135" s="13">
        <v>18</v>
      </c>
      <c r="H135" s="13">
        <v>54</v>
      </c>
      <c r="I135" s="49" t="s">
        <v>443</v>
      </c>
      <c r="J135" s="88"/>
      <c r="K135" s="94"/>
      <c r="L135" s="73">
        <f>VLOOKUP(ProductCost[[#This Row],[Mix / Product Name]],'M - All'!$B$100:$D$330,3,FALSE)</f>
        <v>0.49892500000000001</v>
      </c>
      <c r="M135" s="19">
        <f>IFERROR(IF(OR(A135="PHF Horse Mixes",A135="Peckish",A135="Hay &amp; Straw",ProductCost[[#This Row],[Bagging Process]]=""),0,$Y$7),0)</f>
        <v>0</v>
      </c>
      <c r="N135" s="19">
        <f>IFERROR(VLOOKUP(ProductCost[[#This Row],[Bagging Process]],$W$11:$Y$20,3,FALSE),0)</f>
        <v>8.4319999999999992E-2</v>
      </c>
      <c r="O135" s="23">
        <f t="shared" si="12"/>
        <v>0</v>
      </c>
      <c r="P135" s="23">
        <f t="shared" si="13"/>
        <v>0.65</v>
      </c>
      <c r="Q135" s="23">
        <f t="shared" si="14"/>
        <v>1.5451851851851852</v>
      </c>
      <c r="R135" s="227">
        <f t="shared" si="15"/>
        <v>12.693595185185185</v>
      </c>
      <c r="T135" s="96" t="str">
        <f t="shared" si="16"/>
        <v>n/a</v>
      </c>
      <c r="U135" s="114">
        <f t="shared" si="17"/>
        <v>12.7</v>
      </c>
      <c r="V135" s="4"/>
      <c r="AM135" s="1" t="str">
        <v>Molafos</v>
      </c>
    </row>
    <row r="136" spans="1:39" ht="13.8" x14ac:dyDescent="0.25">
      <c r="A136" s="226" t="s">
        <v>443</v>
      </c>
      <c r="B136" s="13">
        <v>565668</v>
      </c>
      <c r="C136" s="50" t="s">
        <v>387</v>
      </c>
      <c r="D136" s="50" t="s">
        <v>528</v>
      </c>
      <c r="E136" s="13" t="s">
        <v>428</v>
      </c>
      <c r="F136" s="13"/>
      <c r="G136" s="13">
        <v>20</v>
      </c>
      <c r="H136" s="13">
        <v>48</v>
      </c>
      <c r="I136" s="49" t="s">
        <v>443</v>
      </c>
      <c r="J136" s="88"/>
      <c r="K136" s="94"/>
      <c r="L136" s="73">
        <f>VLOOKUP(ProductCost[[#This Row],[Mix / Product Name]],'M - All'!$B$100:$D$330,3,FALSE)</f>
        <v>0.44524525000000004</v>
      </c>
      <c r="M136" s="19">
        <f>IFERROR(IF(OR(A136="PHF Horse Mixes",A136="Peckish",A136="Hay &amp; Straw",ProductCost[[#This Row],[Bagging Process]]=""),0,$Y$7),0)</f>
        <v>0</v>
      </c>
      <c r="N136" s="19">
        <f>IFERROR(VLOOKUP(ProductCost[[#This Row],[Bagging Process]],$W$11:$Y$20,3,FALSE),0)</f>
        <v>8.4319999999999992E-2</v>
      </c>
      <c r="O136" s="23">
        <f t="shared" si="12"/>
        <v>0</v>
      </c>
      <c r="P136" s="23">
        <f t="shared" si="13"/>
        <v>0.65</v>
      </c>
      <c r="Q136" s="23">
        <f t="shared" si="14"/>
        <v>1.7383333333333333</v>
      </c>
      <c r="R136" s="227">
        <f t="shared" si="15"/>
        <v>12.979638333333334</v>
      </c>
      <c r="T136" s="96" t="str">
        <f t="shared" si="16"/>
        <v>n/a</v>
      </c>
      <c r="U136" s="114">
        <f t="shared" si="17"/>
        <v>13</v>
      </c>
      <c r="V136" s="4"/>
      <c r="AM136" s="1" t="str">
        <v>Mould Inhibitor</v>
      </c>
    </row>
    <row r="137" spans="1:39" ht="13.8" x14ac:dyDescent="0.25">
      <c r="A137" s="226" t="s">
        <v>443</v>
      </c>
      <c r="B137" s="13">
        <v>565669</v>
      </c>
      <c r="C137" s="50" t="s">
        <v>388</v>
      </c>
      <c r="D137" s="50" t="s">
        <v>529</v>
      </c>
      <c r="E137" s="13" t="s">
        <v>428</v>
      </c>
      <c r="F137" s="13"/>
      <c r="G137" s="13">
        <v>18</v>
      </c>
      <c r="H137" s="13">
        <v>54</v>
      </c>
      <c r="I137" s="49" t="s">
        <v>443</v>
      </c>
      <c r="J137" s="88"/>
      <c r="K137" s="94"/>
      <c r="L137" s="73">
        <f>VLOOKUP(ProductCost[[#This Row],[Mix / Product Name]],'M - All'!$B$100:$D$330,3,FALSE)</f>
        <v>0.5754045000000001</v>
      </c>
      <c r="M137" s="19">
        <f>IFERROR(IF(OR(A137="PHF Horse Mixes",A137="Peckish",A137="Hay &amp; Straw",ProductCost[[#This Row],[Bagging Process]]=""),0,$Y$7),0)</f>
        <v>0</v>
      </c>
      <c r="N137" s="19">
        <f>IFERROR(VLOOKUP(ProductCost[[#This Row],[Bagging Process]],$W$11:$Y$20,3,FALSE),0)</f>
        <v>8.4319999999999992E-2</v>
      </c>
      <c r="O137" s="23">
        <f t="shared" si="12"/>
        <v>0</v>
      </c>
      <c r="P137" s="23">
        <f t="shared" si="13"/>
        <v>0.65</v>
      </c>
      <c r="Q137" s="23">
        <f t="shared" si="14"/>
        <v>1.5451851851851852</v>
      </c>
      <c r="R137" s="227">
        <f t="shared" si="15"/>
        <v>14.070226185185186</v>
      </c>
      <c r="T137" s="96" t="str">
        <f t="shared" si="16"/>
        <v>n/a</v>
      </c>
      <c r="U137" s="114">
        <f t="shared" si="17"/>
        <v>14.1</v>
      </c>
      <c r="V137" s="4"/>
      <c r="AM137" s="1" t="str">
        <v>Mung Beans</v>
      </c>
    </row>
    <row r="138" spans="1:39" ht="13.8" x14ac:dyDescent="0.25">
      <c r="A138" s="226" t="s">
        <v>443</v>
      </c>
      <c r="B138" s="13">
        <v>565670</v>
      </c>
      <c r="C138" s="50" t="s">
        <v>389</v>
      </c>
      <c r="D138" s="50" t="s">
        <v>530</v>
      </c>
      <c r="E138" s="13" t="s">
        <v>428</v>
      </c>
      <c r="F138" s="13"/>
      <c r="G138" s="13">
        <v>20</v>
      </c>
      <c r="H138" s="13">
        <v>48</v>
      </c>
      <c r="I138" s="49" t="s">
        <v>443</v>
      </c>
      <c r="J138" s="88"/>
      <c r="K138" s="94"/>
      <c r="L138" s="73">
        <f>VLOOKUP(ProductCost[[#This Row],[Mix / Product Name]],'M - All'!$B$100:$D$330,3,FALSE)</f>
        <v>0.37275000000000003</v>
      </c>
      <c r="M138" s="19">
        <f>IFERROR(IF(OR(A138="PHF Horse Mixes",A138="Peckish",A138="Hay &amp; Straw",ProductCost[[#This Row],[Bagging Process]]=""),0,$Y$7),0)</f>
        <v>0</v>
      </c>
      <c r="N138" s="19">
        <f>IFERROR(VLOOKUP(ProductCost[[#This Row],[Bagging Process]],$W$11:$Y$20,3,FALSE),0)</f>
        <v>8.4319999999999992E-2</v>
      </c>
      <c r="O138" s="23">
        <f t="shared" si="12"/>
        <v>0</v>
      </c>
      <c r="P138" s="23">
        <f t="shared" si="13"/>
        <v>0.65</v>
      </c>
      <c r="Q138" s="23">
        <f t="shared" si="14"/>
        <v>1.7383333333333333</v>
      </c>
      <c r="R138" s="227">
        <f t="shared" si="15"/>
        <v>11.529733333333334</v>
      </c>
      <c r="T138" s="96" t="str">
        <f t="shared" si="16"/>
        <v>n/a</v>
      </c>
      <c r="U138" s="114">
        <f t="shared" si="17"/>
        <v>11.6</v>
      </c>
      <c r="V138" s="4"/>
      <c r="AM138" s="1" t="str">
        <v>Oaten Chaff</v>
      </c>
    </row>
    <row r="139" spans="1:39" ht="13.8" x14ac:dyDescent="0.25">
      <c r="A139" s="226" t="s">
        <v>443</v>
      </c>
      <c r="B139" s="13">
        <v>565671</v>
      </c>
      <c r="C139" s="50" t="s">
        <v>390</v>
      </c>
      <c r="D139" s="50" t="s">
        <v>531</v>
      </c>
      <c r="E139" s="13" t="s">
        <v>428</v>
      </c>
      <c r="F139" s="13"/>
      <c r="G139" s="13">
        <v>20</v>
      </c>
      <c r="H139" s="13">
        <v>48</v>
      </c>
      <c r="I139" s="49" t="s">
        <v>443</v>
      </c>
      <c r="J139" s="88"/>
      <c r="K139" s="94"/>
      <c r="L139" s="73">
        <f>VLOOKUP(ProductCost[[#This Row],[Mix / Product Name]],'M - All'!$B$100:$D$330,3,FALSE)</f>
        <v>0.52188900000000005</v>
      </c>
      <c r="M139" s="19">
        <f>IFERROR(IF(OR(A139="PHF Horse Mixes",A139="Peckish",A139="Hay &amp; Straw",ProductCost[[#This Row],[Bagging Process]]=""),0,$Y$7),0)</f>
        <v>0</v>
      </c>
      <c r="N139" s="19">
        <f>IFERROR(VLOOKUP(ProductCost[[#This Row],[Bagging Process]],$W$11:$Y$20,3,FALSE),0)</f>
        <v>8.4319999999999992E-2</v>
      </c>
      <c r="O139" s="23">
        <f t="shared" si="12"/>
        <v>0</v>
      </c>
      <c r="P139" s="23">
        <f t="shared" si="13"/>
        <v>0.65</v>
      </c>
      <c r="Q139" s="23">
        <f t="shared" si="14"/>
        <v>1.7383333333333333</v>
      </c>
      <c r="R139" s="227">
        <f t="shared" si="15"/>
        <v>14.512513333333333</v>
      </c>
      <c r="T139" s="96" t="str">
        <f t="shared" si="16"/>
        <v>n/a</v>
      </c>
      <c r="U139" s="114">
        <f t="shared" si="17"/>
        <v>14.6</v>
      </c>
      <c r="V139" s="4"/>
      <c r="AM139" s="1" t="str">
        <v>Oaten Hay</v>
      </c>
    </row>
    <row r="140" spans="1:39" ht="13.8" x14ac:dyDescent="0.25">
      <c r="A140" s="226" t="s">
        <v>451</v>
      </c>
      <c r="B140" s="13">
        <v>541155</v>
      </c>
      <c r="C140" s="50" t="s">
        <v>283</v>
      </c>
      <c r="D140" s="50" t="s">
        <v>532</v>
      </c>
      <c r="E140" s="13" t="s">
        <v>428</v>
      </c>
      <c r="F140" s="13" t="s">
        <v>429</v>
      </c>
      <c r="G140" s="13">
        <v>20</v>
      </c>
      <c r="H140" s="13">
        <v>48</v>
      </c>
      <c r="I140" s="49" t="s">
        <v>437</v>
      </c>
      <c r="J140" s="88"/>
      <c r="K140" s="94"/>
      <c r="L140" s="73">
        <f>VLOOKUP(ProductCost[[#This Row],[Mix / Product Name]],'M - All'!$B$100:$D$330,3,FALSE)</f>
        <v>0.47301805555555559</v>
      </c>
      <c r="M140" s="19">
        <f>IFERROR(IF(OR(A140="PHF Horse Mixes",A140="Peckish",A140="Hay &amp; Straw",ProductCost[[#This Row],[Bagging Process]]=""),0,$Y$7),0)</f>
        <v>5.5E-2</v>
      </c>
      <c r="N140" s="19">
        <f>IFERROR(VLOOKUP(ProductCost[[#This Row],[Bagging Process]],$W$11:$Y$20,3,FALSE),0)</f>
        <v>0.08</v>
      </c>
      <c r="O140" s="23">
        <f t="shared" si="12"/>
        <v>0</v>
      </c>
      <c r="P140" s="23">
        <f t="shared" si="13"/>
        <v>6.25E-2</v>
      </c>
      <c r="Q140" s="23">
        <f t="shared" si="14"/>
        <v>1.4583333333333333</v>
      </c>
      <c r="R140" s="227">
        <f t="shared" si="15"/>
        <v>13.681194444444445</v>
      </c>
      <c r="T140" s="96" t="str">
        <f t="shared" si="16"/>
        <v>n/a</v>
      </c>
      <c r="U140" s="114">
        <f t="shared" si="17"/>
        <v>19.900000000000002</v>
      </c>
      <c r="V140" s="4"/>
      <c r="AM140" s="1" t="str">
        <v>Cleaned Oats</v>
      </c>
    </row>
    <row r="141" spans="1:39" ht="13.8" x14ac:dyDescent="0.25">
      <c r="A141" s="226" t="s">
        <v>451</v>
      </c>
      <c r="B141" s="13">
        <v>541157</v>
      </c>
      <c r="C141" s="50" t="s">
        <v>287</v>
      </c>
      <c r="D141" s="50" t="s">
        <v>533</v>
      </c>
      <c r="E141" s="13" t="s">
        <v>428</v>
      </c>
      <c r="F141" s="13" t="s">
        <v>429</v>
      </c>
      <c r="G141" s="13">
        <v>20</v>
      </c>
      <c r="H141" s="13">
        <v>48</v>
      </c>
      <c r="I141" s="49" t="s">
        <v>437</v>
      </c>
      <c r="J141" s="88"/>
      <c r="K141" s="94"/>
      <c r="L141" s="73">
        <f>VLOOKUP(ProductCost[[#This Row],[Mix / Product Name]],'M - All'!$B$100:$D$330,3,FALSE)</f>
        <v>0.49981368159203982</v>
      </c>
      <c r="M141" s="19">
        <f>IFERROR(IF(OR(A141="PHF Horse Mixes",A141="Peckish",A141="Hay &amp; Straw",ProductCost[[#This Row],[Bagging Process]]=""),0,$Y$7),0)</f>
        <v>5.5E-2</v>
      </c>
      <c r="N141" s="19">
        <f>IFERROR(VLOOKUP(ProductCost[[#This Row],[Bagging Process]],$W$11:$Y$20,3,FALSE),0)</f>
        <v>0.08</v>
      </c>
      <c r="O141" s="23">
        <f t="shared" si="12"/>
        <v>0</v>
      </c>
      <c r="P141" s="23">
        <f t="shared" si="13"/>
        <v>6.25E-2</v>
      </c>
      <c r="Q141" s="23">
        <f t="shared" si="14"/>
        <v>1.4583333333333333</v>
      </c>
      <c r="R141" s="228">
        <f t="shared" si="15"/>
        <v>14.21710696517413</v>
      </c>
      <c r="T141" s="96" t="str">
        <f t="shared" si="16"/>
        <v>n/a</v>
      </c>
      <c r="U141" s="114">
        <f t="shared" si="17"/>
        <v>20.700000000000003</v>
      </c>
      <c r="V141" s="4"/>
      <c r="AM141" s="1" t="str">
        <v>Uncleaned Oats</v>
      </c>
    </row>
    <row r="142" spans="1:39" ht="13.8" x14ac:dyDescent="0.25">
      <c r="A142" s="226" t="s">
        <v>451</v>
      </c>
      <c r="B142" s="13">
        <v>541158</v>
      </c>
      <c r="C142" s="50" t="s">
        <v>288</v>
      </c>
      <c r="D142" s="50" t="s">
        <v>534</v>
      </c>
      <c r="E142" s="13" t="s">
        <v>428</v>
      </c>
      <c r="F142" s="13" t="s">
        <v>429</v>
      </c>
      <c r="G142" s="13">
        <v>20</v>
      </c>
      <c r="H142" s="13">
        <v>48</v>
      </c>
      <c r="I142" s="49" t="s">
        <v>437</v>
      </c>
      <c r="J142" s="88"/>
      <c r="K142" s="94"/>
      <c r="L142" s="73">
        <f>VLOOKUP(ProductCost[[#This Row],[Mix / Product Name]],'M - All'!$B$100:$D$330,3,FALSE)</f>
        <v>0.96090442708333335</v>
      </c>
      <c r="M142" s="19">
        <f>IFERROR(IF(OR(A142="PHF Horse Mixes",A142="Peckish",A142="Hay &amp; Straw",ProductCost[[#This Row],[Bagging Process]]=""),0,$Y$7),0)</f>
        <v>5.5E-2</v>
      </c>
      <c r="N142" s="19">
        <f>IFERROR(VLOOKUP(ProductCost[[#This Row],[Bagging Process]],$W$11:$Y$20,3,FALSE),0)</f>
        <v>0.08</v>
      </c>
      <c r="O142" s="23">
        <f t="shared" si="12"/>
        <v>0</v>
      </c>
      <c r="P142" s="23">
        <f t="shared" si="13"/>
        <v>6.25E-2</v>
      </c>
      <c r="Q142" s="23">
        <f t="shared" si="14"/>
        <v>1.4583333333333333</v>
      </c>
      <c r="R142" s="227">
        <f t="shared" si="15"/>
        <v>23.438921874999998</v>
      </c>
      <c r="T142" s="96" t="str">
        <f t="shared" si="16"/>
        <v>n/a</v>
      </c>
      <c r="U142" s="114">
        <f t="shared" si="17"/>
        <v>34</v>
      </c>
      <c r="V142" s="4"/>
      <c r="AM142" s="1" t="str">
        <v>Pano</v>
      </c>
    </row>
    <row r="143" spans="1:39" ht="13.8" x14ac:dyDescent="0.25">
      <c r="A143" s="226" t="s">
        <v>451</v>
      </c>
      <c r="B143" s="13">
        <v>541285</v>
      </c>
      <c r="C143" s="50" t="s">
        <v>290</v>
      </c>
      <c r="D143" s="50" t="s">
        <v>290</v>
      </c>
      <c r="E143" s="13" t="s">
        <v>428</v>
      </c>
      <c r="F143" s="13" t="s">
        <v>429</v>
      </c>
      <c r="G143" s="13">
        <v>20</v>
      </c>
      <c r="H143" s="13">
        <v>48</v>
      </c>
      <c r="I143" s="49" t="s">
        <v>437</v>
      </c>
      <c r="J143" s="88"/>
      <c r="K143" s="94"/>
      <c r="L143" s="73">
        <f>VLOOKUP(ProductCost[[#This Row],[Mix / Product Name]],'M - All'!$B$100:$D$330,3,FALSE)</f>
        <v>1.0530638297872341</v>
      </c>
      <c r="M143" s="19">
        <f>IFERROR(IF(OR(A143="PHF Horse Mixes",A143="Peckish",A143="Hay &amp; Straw",ProductCost[[#This Row],[Bagging Process]]=""),0,$Y$7),0)</f>
        <v>5.5E-2</v>
      </c>
      <c r="N143" s="19">
        <f>IFERROR(VLOOKUP(ProductCost[[#This Row],[Bagging Process]],$W$11:$Y$20,3,FALSE),0)</f>
        <v>0.08</v>
      </c>
      <c r="O143" s="23">
        <f t="shared" si="12"/>
        <v>0</v>
      </c>
      <c r="P143" s="23">
        <f t="shared" si="13"/>
        <v>6.25E-2</v>
      </c>
      <c r="Q143" s="23">
        <f t="shared" si="14"/>
        <v>1.4583333333333333</v>
      </c>
      <c r="R143" s="227">
        <f t="shared" si="15"/>
        <v>25.282109929078015</v>
      </c>
      <c r="T143" s="96" t="str">
        <f t="shared" si="16"/>
        <v>n/a</v>
      </c>
      <c r="U143" s="114">
        <f t="shared" si="17"/>
        <v>36.700000000000003</v>
      </c>
      <c r="V143" s="4"/>
      <c r="AM143" s="1" t="str">
        <v>Pea Straw</v>
      </c>
    </row>
    <row r="144" spans="1:39" ht="13.8" x14ac:dyDescent="0.25">
      <c r="A144" s="226" t="s">
        <v>451</v>
      </c>
      <c r="B144" s="13">
        <v>541286</v>
      </c>
      <c r="C144" s="50" t="s">
        <v>291</v>
      </c>
      <c r="D144" s="50" t="s">
        <v>291</v>
      </c>
      <c r="E144" s="13" t="s">
        <v>428</v>
      </c>
      <c r="F144" s="13" t="s">
        <v>429</v>
      </c>
      <c r="G144" s="13">
        <v>20</v>
      </c>
      <c r="H144" s="13">
        <v>48</v>
      </c>
      <c r="I144" s="49" t="s">
        <v>437</v>
      </c>
      <c r="J144" s="88"/>
      <c r="K144" s="94"/>
      <c r="L144" s="73">
        <f>VLOOKUP(ProductCost[[#This Row],[Mix / Product Name]],'M - All'!$B$100:$D$330,3,FALSE)</f>
        <v>1.3055555555555556</v>
      </c>
      <c r="M144" s="19">
        <f>IFERROR(IF(OR(A144="PHF Horse Mixes",A144="Peckish",A144="Hay &amp; Straw",ProductCost[[#This Row],[Bagging Process]]=""),0,$Y$7),0)</f>
        <v>5.5E-2</v>
      </c>
      <c r="N144" s="19">
        <f>IFERROR(VLOOKUP(ProductCost[[#This Row],[Bagging Process]],$W$11:$Y$20,3,FALSE),0)</f>
        <v>0.08</v>
      </c>
      <c r="O144" s="23">
        <f t="shared" si="12"/>
        <v>0</v>
      </c>
      <c r="P144" s="23">
        <f t="shared" si="13"/>
        <v>6.25E-2</v>
      </c>
      <c r="Q144" s="23">
        <f t="shared" si="14"/>
        <v>1.4583333333333333</v>
      </c>
      <c r="R144" s="227">
        <f t="shared" si="15"/>
        <v>30.331944444444442</v>
      </c>
      <c r="T144" s="96" t="str">
        <f t="shared" si="16"/>
        <v>n/a</v>
      </c>
      <c r="U144" s="114">
        <f t="shared" si="17"/>
        <v>44</v>
      </c>
      <c r="V144" s="4"/>
      <c r="AM144" s="1" t="str">
        <v>Peas</v>
      </c>
    </row>
    <row r="145" spans="1:39" ht="13.8" x14ac:dyDescent="0.25">
      <c r="A145" s="226" t="s">
        <v>451</v>
      </c>
      <c r="B145" s="13">
        <v>541287</v>
      </c>
      <c r="C145" s="50" t="s">
        <v>292</v>
      </c>
      <c r="D145" s="50" t="s">
        <v>535</v>
      </c>
      <c r="E145" s="13" t="s">
        <v>428</v>
      </c>
      <c r="F145" s="13" t="s">
        <v>429</v>
      </c>
      <c r="G145" s="13">
        <v>20</v>
      </c>
      <c r="H145" s="13">
        <v>48</v>
      </c>
      <c r="I145" s="49" t="s">
        <v>437</v>
      </c>
      <c r="J145" s="88"/>
      <c r="K145" s="94"/>
      <c r="L145" s="73">
        <f>VLOOKUP(ProductCost[[#This Row],[Mix / Product Name]],'M - All'!$B$100:$D$330,3,FALSE)</f>
        <v>1.1926458333333334</v>
      </c>
      <c r="M145" s="19">
        <f>IFERROR(IF(OR(A145="PHF Horse Mixes",A145="Peckish",A145="Hay &amp; Straw",ProductCost[[#This Row],[Bagging Process]]=""),0,$Y$7),0)</f>
        <v>5.5E-2</v>
      </c>
      <c r="N145" s="19">
        <f>IFERROR(VLOOKUP(ProductCost[[#This Row],[Bagging Process]],$W$11:$Y$20,3,FALSE),0)</f>
        <v>0.08</v>
      </c>
      <c r="O145" s="23">
        <f t="shared" si="12"/>
        <v>0</v>
      </c>
      <c r="P145" s="23">
        <f t="shared" si="13"/>
        <v>6.25E-2</v>
      </c>
      <c r="Q145" s="23">
        <f t="shared" si="14"/>
        <v>1.4583333333333333</v>
      </c>
      <c r="R145" s="227">
        <f t="shared" si="15"/>
        <v>28.07375</v>
      </c>
      <c r="T145" s="96" t="str">
        <f t="shared" si="16"/>
        <v>n/a</v>
      </c>
      <c r="U145" s="114">
        <f t="shared" si="17"/>
        <v>40.700000000000003</v>
      </c>
      <c r="V145" s="4"/>
      <c r="AM145" s="1" t="str">
        <v>Pigeon Grit Digestive Aid</v>
      </c>
    </row>
    <row r="146" spans="1:39" ht="13.8" x14ac:dyDescent="0.25">
      <c r="A146" s="226" t="s">
        <v>449</v>
      </c>
      <c r="B146" s="13">
        <v>383789</v>
      </c>
      <c r="C146" s="50" t="s">
        <v>145</v>
      </c>
      <c r="D146" s="50" t="s">
        <v>146</v>
      </c>
      <c r="E146" s="13" t="s">
        <v>428</v>
      </c>
      <c r="F146" s="13"/>
      <c r="G146" s="13">
        <v>20</v>
      </c>
      <c r="H146" s="13">
        <v>48</v>
      </c>
      <c r="I146" s="49" t="s">
        <v>430</v>
      </c>
      <c r="J146" s="88"/>
      <c r="K146" s="94"/>
      <c r="L146" s="73">
        <f>VLOOKUP(ProductCost[[#This Row],[Mix / Product Name]],'M - All'!$B$100:$D$330,3,FALSE)</f>
        <v>0.35385</v>
      </c>
      <c r="M146" s="19">
        <f>IFERROR(IF(OR(A146="PHF Horse Mixes",A146="Peckish",A146="Hay &amp; Straw",ProductCost[[#This Row],[Bagging Process]]=""),0,$Y$7),0)</f>
        <v>5.5E-2</v>
      </c>
      <c r="N146" s="19">
        <f>IFERROR(VLOOKUP(ProductCost[[#This Row],[Bagging Process]],$W$11:$Y$20,3,FALSE),0)</f>
        <v>0.04</v>
      </c>
      <c r="O146" s="23">
        <f t="shared" si="12"/>
        <v>0</v>
      </c>
      <c r="P146" s="23">
        <f t="shared" si="13"/>
        <v>0.6925</v>
      </c>
      <c r="Q146" s="23">
        <f t="shared" si="14"/>
        <v>1.4583333333333333</v>
      </c>
      <c r="R146" s="227">
        <f t="shared" si="15"/>
        <v>11.127833333333333</v>
      </c>
      <c r="T146" s="96">
        <f t="shared" si="16"/>
        <v>13.570528455284551</v>
      </c>
      <c r="U146" s="114">
        <f t="shared" si="17"/>
        <v>14.6</v>
      </c>
      <c r="V146" s="4"/>
      <c r="AM146" s="1" t="str">
        <v>Plain Canary</v>
      </c>
    </row>
    <row r="147" spans="1:39" ht="13.8" x14ac:dyDescent="0.25">
      <c r="A147" s="226" t="s">
        <v>449</v>
      </c>
      <c r="B147" s="13">
        <v>503634</v>
      </c>
      <c r="C147" s="50" t="s">
        <v>251</v>
      </c>
      <c r="D147" s="50" t="s">
        <v>146</v>
      </c>
      <c r="E147" s="13" t="s">
        <v>435</v>
      </c>
      <c r="F147" s="13"/>
      <c r="G147" s="13">
        <v>1000</v>
      </c>
      <c r="H147" s="13">
        <v>1</v>
      </c>
      <c r="I147" s="49" t="s">
        <v>430</v>
      </c>
      <c r="J147" s="88"/>
      <c r="K147" s="94"/>
      <c r="L147" s="73">
        <f>VLOOKUP(ProductCost[[#This Row],[Mix / Product Name]],'M - All'!$B$100:$D$330,3,FALSE)</f>
        <v>0.35385</v>
      </c>
      <c r="M147" s="19">
        <f>IFERROR(IF(OR(A147="PHF Horse Mixes",A147="Peckish",A147="Hay &amp; Straw",ProductCost[[#This Row],[Bagging Process]]=""),0,$Y$7),0)</f>
        <v>5.5E-2</v>
      </c>
      <c r="N147" s="19">
        <f>IFERROR(VLOOKUP(ProductCost[[#This Row],[Bagging Process]],$W$11:$Y$20,3,FALSE),0)</f>
        <v>0.04</v>
      </c>
      <c r="O147" s="23">
        <f t="shared" si="12"/>
        <v>0</v>
      </c>
      <c r="P147" s="23">
        <f t="shared" si="13"/>
        <v>1.72E-2</v>
      </c>
      <c r="Q147" s="23">
        <f t="shared" si="14"/>
        <v>7.0000000000000007E-2</v>
      </c>
      <c r="R147" s="227">
        <f t="shared" si="15"/>
        <v>0.53604999999999992</v>
      </c>
      <c r="T147" s="96">
        <f t="shared" si="16"/>
        <v>0.65371951219512181</v>
      </c>
      <c r="U147" s="114">
        <f t="shared" si="17"/>
        <v>0.71</v>
      </c>
      <c r="V147" s="4"/>
      <c r="AM147" s="1" t="str">
        <v>Pollard</v>
      </c>
    </row>
    <row r="148" spans="1:39" ht="13.8" x14ac:dyDescent="0.25">
      <c r="A148" s="226" t="s">
        <v>449</v>
      </c>
      <c r="B148" s="13">
        <v>547537</v>
      </c>
      <c r="C148" s="50" t="s">
        <v>314</v>
      </c>
      <c r="D148" s="50" t="s">
        <v>146</v>
      </c>
      <c r="E148" s="13" t="s">
        <v>428</v>
      </c>
      <c r="F148" s="13"/>
      <c r="G148" s="13">
        <v>20</v>
      </c>
      <c r="H148" s="13">
        <v>48</v>
      </c>
      <c r="I148" s="49" t="s">
        <v>430</v>
      </c>
      <c r="J148" s="88"/>
      <c r="K148" s="94"/>
      <c r="L148" s="73">
        <f>VLOOKUP(ProductCost[[#This Row],[Mix / Product Name]],'M - All'!$B$100:$D$330,3,FALSE)</f>
        <v>0.35385</v>
      </c>
      <c r="M148" s="19">
        <f>IFERROR(IF(OR(A148="PHF Horse Mixes",A148="Peckish",A148="Hay &amp; Straw",ProductCost[[#This Row],[Bagging Process]]=""),0,$Y$7),0)</f>
        <v>5.5E-2</v>
      </c>
      <c r="N148" s="19">
        <f>IFERROR(VLOOKUP(ProductCost[[#This Row],[Bagging Process]],$W$11:$Y$20,3,FALSE),0)</f>
        <v>0.04</v>
      </c>
      <c r="O148" s="23">
        <f t="shared" si="12"/>
        <v>2.5000000000000001E-2</v>
      </c>
      <c r="P148" s="23">
        <f t="shared" si="13"/>
        <v>0.6925</v>
      </c>
      <c r="Q148" s="23">
        <f t="shared" si="14"/>
        <v>1.4583333333333333</v>
      </c>
      <c r="R148" s="227">
        <f t="shared" si="15"/>
        <v>11.627833333333333</v>
      </c>
      <c r="T148" s="96">
        <f t="shared" si="16"/>
        <v>14.180284552845528</v>
      </c>
      <c r="U148" s="114">
        <f t="shared" si="17"/>
        <v>15.2</v>
      </c>
      <c r="V148" s="4"/>
      <c r="AM148" s="1" t="str">
        <v>Popcorn</v>
      </c>
    </row>
    <row r="149" spans="1:39" ht="13.8" x14ac:dyDescent="0.25">
      <c r="A149" s="226" t="s">
        <v>449</v>
      </c>
      <c r="B149" s="13">
        <v>383795</v>
      </c>
      <c r="C149" s="50" t="s">
        <v>153</v>
      </c>
      <c r="D149" s="50" t="s">
        <v>154</v>
      </c>
      <c r="E149" s="13" t="s">
        <v>428</v>
      </c>
      <c r="F149" s="13"/>
      <c r="G149" s="13">
        <v>20</v>
      </c>
      <c r="H149" s="13">
        <v>48</v>
      </c>
      <c r="I149" s="49" t="s">
        <v>430</v>
      </c>
      <c r="J149" s="88"/>
      <c r="K149" s="94"/>
      <c r="L149" s="73">
        <f>VLOOKUP(ProductCost[[#This Row],[Mix / Product Name]],'M - All'!$B$100:$D$330,3,FALSE)</f>
        <v>1.4742</v>
      </c>
      <c r="M149" s="19">
        <f>IFERROR(IF(OR(A149="PHF Horse Mixes",A149="Peckish",A149="Hay &amp; Straw",ProductCost[[#This Row],[Bagging Process]]=""),0,$Y$7),0)</f>
        <v>5.5E-2</v>
      </c>
      <c r="N149" s="19">
        <f>IFERROR(VLOOKUP(ProductCost[[#This Row],[Bagging Process]],$W$11:$Y$20,3,FALSE),0)</f>
        <v>0.04</v>
      </c>
      <c r="O149" s="23">
        <f t="shared" si="12"/>
        <v>0</v>
      </c>
      <c r="P149" s="23">
        <f t="shared" si="13"/>
        <v>0.6925</v>
      </c>
      <c r="Q149" s="23">
        <f t="shared" si="14"/>
        <v>1.4583333333333333</v>
      </c>
      <c r="R149" s="227">
        <f t="shared" si="15"/>
        <v>33.534833333333331</v>
      </c>
      <c r="T149" s="96">
        <f t="shared" si="16"/>
        <v>40.896138211382109</v>
      </c>
      <c r="U149" s="114">
        <f t="shared" si="17"/>
        <v>43.9</v>
      </c>
      <c r="V149" s="4"/>
      <c r="AM149" s="1" t="str">
        <v>Premuim Layer Premix</v>
      </c>
    </row>
    <row r="150" spans="1:39" ht="13.8" x14ac:dyDescent="0.25">
      <c r="A150" s="226" t="s">
        <v>449</v>
      </c>
      <c r="B150" s="13">
        <v>509150</v>
      </c>
      <c r="C150" s="50" t="s">
        <v>259</v>
      </c>
      <c r="D150" s="50" t="s">
        <v>154</v>
      </c>
      <c r="E150" s="13" t="s">
        <v>435</v>
      </c>
      <c r="F150" s="13"/>
      <c r="G150" s="13">
        <v>550</v>
      </c>
      <c r="H150" s="13">
        <v>1</v>
      </c>
      <c r="I150" s="49" t="s">
        <v>430</v>
      </c>
      <c r="J150" s="88"/>
      <c r="K150" s="94"/>
      <c r="L150" s="73">
        <f>VLOOKUP(ProductCost[[#This Row],[Mix / Product Name]],'M - All'!$B$100:$D$330,3,FALSE)</f>
        <v>1.4742</v>
      </c>
      <c r="M150" s="19">
        <f>IFERROR(IF(OR(A150="PHF Horse Mixes",A150="Peckish",A150="Hay &amp; Straw",ProductCost[[#This Row],[Bagging Process]]=""),0,$Y$7),0)</f>
        <v>5.5E-2</v>
      </c>
      <c r="N150" s="19">
        <f>IFERROR(VLOOKUP(ProductCost[[#This Row],[Bagging Process]],$W$11:$Y$20,3,FALSE),0)</f>
        <v>0.04</v>
      </c>
      <c r="O150" s="23">
        <f t="shared" si="12"/>
        <v>0</v>
      </c>
      <c r="P150" s="23">
        <f t="shared" si="13"/>
        <v>3.1272727272727271E-2</v>
      </c>
      <c r="Q150" s="23">
        <f t="shared" si="14"/>
        <v>0.12727272727272726</v>
      </c>
      <c r="R150" s="227">
        <f t="shared" si="15"/>
        <v>1.7277454545454545</v>
      </c>
      <c r="T150" s="96">
        <f t="shared" si="16"/>
        <v>2.1070066518847006</v>
      </c>
      <c r="U150" s="114">
        <f t="shared" si="17"/>
        <v>2.2599999999999998</v>
      </c>
      <c r="V150" s="4"/>
      <c r="AM150" s="1" t="str">
        <v>Preserve</v>
      </c>
    </row>
    <row r="151" spans="1:39" ht="13.8" x14ac:dyDescent="0.25">
      <c r="A151" s="226" t="s">
        <v>449</v>
      </c>
      <c r="B151" s="13">
        <v>383802</v>
      </c>
      <c r="C151" s="50" t="s">
        <v>168</v>
      </c>
      <c r="D151" s="50" t="s">
        <v>169</v>
      </c>
      <c r="E151" s="13" t="s">
        <v>428</v>
      </c>
      <c r="F151" s="13"/>
      <c r="G151" s="13">
        <v>25</v>
      </c>
      <c r="H151" s="13">
        <v>48</v>
      </c>
      <c r="I151" s="49" t="s">
        <v>430</v>
      </c>
      <c r="J151" s="88"/>
      <c r="K151" s="94"/>
      <c r="L151" s="73">
        <f>VLOOKUP(ProductCost[[#This Row],[Mix / Product Name]],'M - All'!$B$100:$D$330,3,FALSE)</f>
        <v>1.9698</v>
      </c>
      <c r="M151" s="19">
        <f>IFERROR(IF(OR(A151="PHF Horse Mixes",A151="Peckish",A151="Hay &amp; Straw",ProductCost[[#This Row],[Bagging Process]]=""),0,$Y$7),0)</f>
        <v>5.5E-2</v>
      </c>
      <c r="N151" s="19">
        <f>IFERROR(VLOOKUP(ProductCost[[#This Row],[Bagging Process]],$W$11:$Y$20,3,FALSE),0)</f>
        <v>0.04</v>
      </c>
      <c r="O151" s="23">
        <f t="shared" si="12"/>
        <v>0</v>
      </c>
      <c r="P151" s="23">
        <f t="shared" si="13"/>
        <v>0.6925</v>
      </c>
      <c r="Q151" s="23">
        <f t="shared" si="14"/>
        <v>1.4583333333333333</v>
      </c>
      <c r="R151" s="227">
        <f t="shared" si="15"/>
        <v>53.770833333333329</v>
      </c>
      <c r="T151" s="96">
        <f t="shared" si="16"/>
        <v>65.574186991869908</v>
      </c>
      <c r="U151" s="114">
        <f t="shared" si="17"/>
        <v>70.3</v>
      </c>
      <c r="V151" s="4"/>
      <c r="AM151" s="1" t="str">
        <v>Rabbit Pellets</v>
      </c>
    </row>
    <row r="152" spans="1:39" ht="13.8" x14ac:dyDescent="0.25">
      <c r="A152" s="226" t="s">
        <v>449</v>
      </c>
      <c r="B152" s="13">
        <v>383797</v>
      </c>
      <c r="C152" s="50" t="s">
        <v>156</v>
      </c>
      <c r="D152" s="50" t="s">
        <v>157</v>
      </c>
      <c r="E152" s="13" t="s">
        <v>428</v>
      </c>
      <c r="F152" s="13"/>
      <c r="G152" s="13">
        <v>20</v>
      </c>
      <c r="H152" s="13">
        <v>48</v>
      </c>
      <c r="I152" s="49" t="s">
        <v>430</v>
      </c>
      <c r="J152" s="88"/>
      <c r="K152" s="94"/>
      <c r="L152" s="73">
        <f>VLOOKUP(ProductCost[[#This Row],[Mix / Product Name]],'M - All'!$B$100:$D$330,3,FALSE)</f>
        <v>0.66300000000000003</v>
      </c>
      <c r="M152" s="19">
        <f>IFERROR(IF(OR(A152="PHF Horse Mixes",A152="Peckish",A152="Hay &amp; Straw",ProductCost[[#This Row],[Bagging Process]]=""),0,$Y$7),0)</f>
        <v>5.5E-2</v>
      </c>
      <c r="N152" s="19">
        <f>IFERROR(VLOOKUP(ProductCost[[#This Row],[Bagging Process]],$W$11:$Y$20,3,FALSE),0)</f>
        <v>0.04</v>
      </c>
      <c r="O152" s="23">
        <f t="shared" si="12"/>
        <v>0</v>
      </c>
      <c r="P152" s="23">
        <f t="shared" si="13"/>
        <v>0.6925</v>
      </c>
      <c r="Q152" s="23">
        <f t="shared" si="14"/>
        <v>1.4583333333333333</v>
      </c>
      <c r="R152" s="227">
        <f t="shared" si="15"/>
        <v>17.310833333333335</v>
      </c>
      <c r="T152" s="96">
        <f t="shared" si="16"/>
        <v>21.110772357723576</v>
      </c>
      <c r="U152" s="114">
        <f t="shared" si="17"/>
        <v>22.700000000000003</v>
      </c>
      <c r="V152" s="4"/>
      <c r="AM152" s="1" t="str">
        <v>Restore</v>
      </c>
    </row>
    <row r="153" spans="1:39" ht="13.8" x14ac:dyDescent="0.25">
      <c r="A153" s="226" t="s">
        <v>449</v>
      </c>
      <c r="B153" s="13">
        <v>501074</v>
      </c>
      <c r="C153" s="50" t="s">
        <v>242</v>
      </c>
      <c r="D153" s="50" t="s">
        <v>242</v>
      </c>
      <c r="E153" s="13" t="s">
        <v>428</v>
      </c>
      <c r="F153" s="13"/>
      <c r="G153" s="13">
        <v>20</v>
      </c>
      <c r="H153" s="13">
        <v>48</v>
      </c>
      <c r="I153" s="49" t="s">
        <v>430</v>
      </c>
      <c r="J153" s="88"/>
      <c r="K153" s="94"/>
      <c r="L153" s="73">
        <f>VLOOKUP(ProductCost[[#This Row],[Mix / Product Name]],'M - All'!$B$100:$D$330,3,FALSE)</f>
        <v>0.45150000000000001</v>
      </c>
      <c r="M153" s="19">
        <f>IFERROR(IF(OR(A153="PHF Horse Mixes",A153="Peckish",A153="Hay &amp; Straw",ProductCost[[#This Row],[Bagging Process]]=""),0,$Y$7),0)</f>
        <v>5.5E-2</v>
      </c>
      <c r="N153" s="19">
        <f>IFERROR(VLOOKUP(ProductCost[[#This Row],[Bagging Process]],$W$11:$Y$20,3,FALSE),0)</f>
        <v>0.04</v>
      </c>
      <c r="O153" s="23">
        <f t="shared" si="12"/>
        <v>0</v>
      </c>
      <c r="P153" s="23">
        <f t="shared" si="13"/>
        <v>0.6925</v>
      </c>
      <c r="Q153" s="23">
        <f t="shared" si="14"/>
        <v>1.4583333333333333</v>
      </c>
      <c r="R153" s="227">
        <f t="shared" si="15"/>
        <v>13.080833333333334</v>
      </c>
      <c r="T153" s="96">
        <f t="shared" si="16"/>
        <v>15.952235772357724</v>
      </c>
      <c r="U153" s="114">
        <f t="shared" si="17"/>
        <v>17.100000000000001</v>
      </c>
      <c r="V153" s="4"/>
      <c r="AM153" s="1" t="str">
        <v>Rice Hulls</v>
      </c>
    </row>
    <row r="154" spans="1:39" ht="13.8" x14ac:dyDescent="0.25">
      <c r="A154" s="226" t="s">
        <v>449</v>
      </c>
      <c r="B154" s="13">
        <v>546686</v>
      </c>
      <c r="C154" s="50" t="s">
        <v>308</v>
      </c>
      <c r="D154" s="50" t="s">
        <v>536</v>
      </c>
      <c r="E154" s="13" t="s">
        <v>428</v>
      </c>
      <c r="F154" s="13"/>
      <c r="G154" s="13">
        <v>20</v>
      </c>
      <c r="H154" s="13">
        <v>48</v>
      </c>
      <c r="I154" s="49" t="s">
        <v>430</v>
      </c>
      <c r="J154" s="88"/>
      <c r="K154" s="94"/>
      <c r="L154" s="73">
        <f>VLOOKUP(ProductCost[[#This Row],[Mix / Product Name]],'M - All'!$B$100:$D$330,3,FALSE)</f>
        <v>1.5435000000000001</v>
      </c>
      <c r="M154" s="19">
        <f>IFERROR(IF(OR(A154="PHF Horse Mixes",A154="Peckish",A154="Hay &amp; Straw",ProductCost[[#This Row],[Bagging Process]]=""),0,$Y$7),0)</f>
        <v>5.5E-2</v>
      </c>
      <c r="N154" s="19">
        <f>IFERROR(VLOOKUP(ProductCost[[#This Row],[Bagging Process]],$W$11:$Y$20,3,FALSE),0)</f>
        <v>0.04</v>
      </c>
      <c r="O154" s="23">
        <f t="shared" si="12"/>
        <v>0</v>
      </c>
      <c r="P154" s="23">
        <f t="shared" si="13"/>
        <v>0.6925</v>
      </c>
      <c r="Q154" s="23">
        <f t="shared" si="14"/>
        <v>1.4583333333333333</v>
      </c>
      <c r="R154" s="227">
        <f t="shared" si="15"/>
        <v>34.920833333333334</v>
      </c>
      <c r="T154" s="96">
        <f t="shared" si="16"/>
        <v>42.586382113821138</v>
      </c>
      <c r="U154" s="114">
        <f t="shared" si="17"/>
        <v>45.7</v>
      </c>
      <c r="V154" s="4"/>
      <c r="AM154" s="1" t="str">
        <v>Safflower</v>
      </c>
    </row>
    <row r="155" spans="1:39" ht="13.8" x14ac:dyDescent="0.25">
      <c r="A155" s="226" t="s">
        <v>449</v>
      </c>
      <c r="B155" s="13">
        <v>546687</v>
      </c>
      <c r="C155" s="50" t="s">
        <v>311</v>
      </c>
      <c r="D155" s="50" t="s">
        <v>536</v>
      </c>
      <c r="E155" s="13" t="s">
        <v>435</v>
      </c>
      <c r="F155" s="13"/>
      <c r="G155" s="13">
        <v>550</v>
      </c>
      <c r="H155" s="13">
        <v>1</v>
      </c>
      <c r="I155" s="49" t="s">
        <v>430</v>
      </c>
      <c r="J155" s="88"/>
      <c r="K155" s="94"/>
      <c r="L155" s="73">
        <f>VLOOKUP(ProductCost[[#This Row],[Mix / Product Name]],'M - All'!$B$100:$D$330,3,FALSE)</f>
        <v>1.5435000000000001</v>
      </c>
      <c r="M155" s="19">
        <f>IFERROR(IF(OR(A155="PHF Horse Mixes",A155="Peckish",A155="Hay &amp; Straw",ProductCost[[#This Row],[Bagging Process]]=""),0,$Y$7),0)</f>
        <v>5.5E-2</v>
      </c>
      <c r="N155" s="19">
        <f>IFERROR(VLOOKUP(ProductCost[[#This Row],[Bagging Process]],$W$11:$Y$20,3,FALSE),0)</f>
        <v>0.04</v>
      </c>
      <c r="O155" s="23">
        <f t="shared" si="12"/>
        <v>0</v>
      </c>
      <c r="P155" s="23">
        <f t="shared" si="13"/>
        <v>3.1272727272727271E-2</v>
      </c>
      <c r="Q155" s="23">
        <f t="shared" si="14"/>
        <v>0.12727272727272726</v>
      </c>
      <c r="R155" s="227">
        <f t="shared" si="15"/>
        <v>1.7970454545454546</v>
      </c>
      <c r="T155" s="96">
        <f t="shared" si="16"/>
        <v>2.1915188470066518</v>
      </c>
      <c r="U155" s="114">
        <f t="shared" si="17"/>
        <v>2.3499999999999996</v>
      </c>
      <c r="V155" s="4"/>
      <c r="AM155" s="1" t="str">
        <v>Salt</v>
      </c>
    </row>
    <row r="156" spans="1:39" ht="13.8" x14ac:dyDescent="0.25">
      <c r="A156" s="226" t="s">
        <v>449</v>
      </c>
      <c r="B156" s="13">
        <v>501775</v>
      </c>
      <c r="C156" s="50" t="s">
        <v>247</v>
      </c>
      <c r="D156" s="50" t="s">
        <v>247</v>
      </c>
      <c r="E156" s="13" t="s">
        <v>428</v>
      </c>
      <c r="F156" s="13"/>
      <c r="G156" s="13">
        <v>20</v>
      </c>
      <c r="H156" s="13">
        <v>48</v>
      </c>
      <c r="I156" s="49" t="s">
        <v>430</v>
      </c>
      <c r="J156" s="88"/>
      <c r="K156" s="94"/>
      <c r="L156" s="73">
        <f>VLOOKUP(ProductCost[[#This Row],[Mix / Product Name]],'M - All'!$B$100:$D$330,3,FALSE)</f>
        <v>0.90449999999999997</v>
      </c>
      <c r="M156" s="19">
        <f>IFERROR(IF(OR(A156="PHF Horse Mixes",A156="Peckish",A156="Hay &amp; Straw",ProductCost[[#This Row],[Bagging Process]]=""),0,$Y$7),0)</f>
        <v>5.5E-2</v>
      </c>
      <c r="N156" s="19">
        <f>IFERROR(VLOOKUP(ProductCost[[#This Row],[Bagging Process]],$W$11:$Y$20,3,FALSE),0)</f>
        <v>0.04</v>
      </c>
      <c r="O156" s="23">
        <f t="shared" si="12"/>
        <v>0</v>
      </c>
      <c r="P156" s="23">
        <f t="shared" si="13"/>
        <v>0.6925</v>
      </c>
      <c r="Q156" s="23">
        <f t="shared" si="14"/>
        <v>1.4583333333333333</v>
      </c>
      <c r="R156" s="227">
        <f t="shared" si="15"/>
        <v>22.140833333333337</v>
      </c>
      <c r="T156" s="96">
        <f t="shared" si="16"/>
        <v>27.001016260162604</v>
      </c>
      <c r="U156" s="114">
        <f t="shared" si="17"/>
        <v>29</v>
      </c>
      <c r="V156" s="4"/>
      <c r="AM156" s="1" t="str">
        <v>Sorghum</v>
      </c>
    </row>
    <row r="157" spans="1:39" ht="13.8" x14ac:dyDescent="0.25">
      <c r="A157" s="226" t="s">
        <v>449</v>
      </c>
      <c r="B157" s="13">
        <v>557601</v>
      </c>
      <c r="C157" s="50" t="s">
        <v>319</v>
      </c>
      <c r="D157" s="50" t="s">
        <v>247</v>
      </c>
      <c r="E157" s="13" t="s">
        <v>435</v>
      </c>
      <c r="F157" s="13"/>
      <c r="G157" s="13">
        <v>1000</v>
      </c>
      <c r="H157" s="13">
        <v>1</v>
      </c>
      <c r="I157" s="49" t="s">
        <v>430</v>
      </c>
      <c r="J157" s="88"/>
      <c r="K157" s="94"/>
      <c r="L157" s="73">
        <f>VLOOKUP(ProductCost[[#This Row],[Mix / Product Name]],'M - All'!$B$100:$D$330,3,FALSE)</f>
        <v>0.90449999999999997</v>
      </c>
      <c r="M157" s="19">
        <f>IFERROR(IF(OR(A157="PHF Horse Mixes",A157="Peckish",A157="Hay &amp; Straw",ProductCost[[#This Row],[Bagging Process]]=""),0,$Y$7),0)</f>
        <v>5.5E-2</v>
      </c>
      <c r="N157" s="19">
        <f>IFERROR(VLOOKUP(ProductCost[[#This Row],[Bagging Process]],$W$11:$Y$20,3,FALSE),0)</f>
        <v>0.04</v>
      </c>
      <c r="O157" s="23">
        <f t="shared" si="12"/>
        <v>0</v>
      </c>
      <c r="P157" s="23">
        <f t="shared" si="13"/>
        <v>1.72E-2</v>
      </c>
      <c r="Q157" s="23">
        <f t="shared" si="14"/>
        <v>7.0000000000000007E-2</v>
      </c>
      <c r="R157" s="227">
        <f t="shared" si="15"/>
        <v>1.0867000000000002</v>
      </c>
      <c r="T157" s="96">
        <f t="shared" si="16"/>
        <v>1.3252439024390246</v>
      </c>
      <c r="U157" s="114">
        <f t="shared" si="17"/>
        <v>1.43</v>
      </c>
      <c r="V157" s="4"/>
      <c r="AM157" s="1" t="str">
        <v>Steamed &amp; Rolled Barley</v>
      </c>
    </row>
    <row r="158" spans="1:39" ht="13.8" x14ac:dyDescent="0.25">
      <c r="A158" s="226" t="s">
        <v>449</v>
      </c>
      <c r="B158" s="13">
        <v>383799</v>
      </c>
      <c r="C158" s="50" t="s">
        <v>159</v>
      </c>
      <c r="D158" s="50" t="s">
        <v>160</v>
      </c>
      <c r="E158" s="13" t="s">
        <v>428</v>
      </c>
      <c r="F158" s="13"/>
      <c r="G158" s="13">
        <v>20</v>
      </c>
      <c r="H158" s="13">
        <v>48</v>
      </c>
      <c r="I158" s="49" t="s">
        <v>430</v>
      </c>
      <c r="J158" s="88"/>
      <c r="K158" s="94"/>
      <c r="L158" s="73">
        <f>VLOOKUP(ProductCost[[#This Row],[Mix / Product Name]],'M - All'!$B$100:$D$330,3,FALSE)</f>
        <v>2.0499999999999998</v>
      </c>
      <c r="M158" s="19">
        <f>IFERROR(IF(OR(A158="PHF Horse Mixes",A158="Peckish",A158="Hay &amp; Straw",ProductCost[[#This Row],[Bagging Process]]=""),0,$Y$7),0)</f>
        <v>5.5E-2</v>
      </c>
      <c r="N158" s="19">
        <f>IFERROR(VLOOKUP(ProductCost[[#This Row],[Bagging Process]],$W$11:$Y$20,3,FALSE),0)</f>
        <v>0.04</v>
      </c>
      <c r="O158" s="23">
        <f t="shared" si="12"/>
        <v>0</v>
      </c>
      <c r="P158" s="23">
        <f t="shared" si="13"/>
        <v>0.6925</v>
      </c>
      <c r="Q158" s="23">
        <f t="shared" si="14"/>
        <v>1.4583333333333333</v>
      </c>
      <c r="R158" s="227">
        <f t="shared" si="15"/>
        <v>45.05083333333333</v>
      </c>
      <c r="T158" s="96">
        <f t="shared" si="16"/>
        <v>54.940040650406495</v>
      </c>
      <c r="U158" s="114">
        <f t="shared" si="17"/>
        <v>58.9</v>
      </c>
      <c r="V158" s="4"/>
      <c r="AM158" s="1" t="str">
        <v>Steamed &amp; Rolled Lupins</v>
      </c>
    </row>
    <row r="159" spans="1:39" ht="13.8" x14ac:dyDescent="0.25">
      <c r="A159" s="226" t="s">
        <v>449</v>
      </c>
      <c r="B159" s="13">
        <v>520015</v>
      </c>
      <c r="C159" s="50" t="s">
        <v>269</v>
      </c>
      <c r="D159" s="50" t="s">
        <v>537</v>
      </c>
      <c r="E159" s="13" t="s">
        <v>428</v>
      </c>
      <c r="F159" s="13"/>
      <c r="G159" s="13">
        <v>20</v>
      </c>
      <c r="H159" s="13">
        <v>48</v>
      </c>
      <c r="I159" s="49" t="s">
        <v>430</v>
      </c>
      <c r="J159" s="88"/>
      <c r="K159" s="94"/>
      <c r="L159" s="73">
        <f>VLOOKUP(ProductCost[[#This Row],[Mix / Product Name]],'M - All'!$B$100:$D$330,3,FALSE)</f>
        <v>0.77700000000000002</v>
      </c>
      <c r="M159" s="19">
        <f>IFERROR(IF(OR(A159="PHF Horse Mixes",A159="Peckish",A159="Hay &amp; Straw",ProductCost[[#This Row],[Bagging Process]]=""),0,$Y$7),0)</f>
        <v>5.5E-2</v>
      </c>
      <c r="N159" s="19">
        <f>IFERROR(VLOOKUP(ProductCost[[#This Row],[Bagging Process]],$W$11:$Y$20,3,FALSE),0)</f>
        <v>0.04</v>
      </c>
      <c r="O159" s="23">
        <f t="shared" si="12"/>
        <v>0</v>
      </c>
      <c r="P159" s="23">
        <f t="shared" si="13"/>
        <v>0.6925</v>
      </c>
      <c r="Q159" s="23">
        <f t="shared" si="14"/>
        <v>1.4583333333333333</v>
      </c>
      <c r="R159" s="227">
        <f t="shared" si="15"/>
        <v>19.590833333333336</v>
      </c>
      <c r="T159" s="96">
        <f t="shared" si="16"/>
        <v>23.891260162601629</v>
      </c>
      <c r="U159" s="114">
        <f t="shared" si="17"/>
        <v>25.700000000000003</v>
      </c>
      <c r="V159" s="4"/>
      <c r="AM159" s="1" t="str">
        <v>Steamed &amp; Rolled Maize</v>
      </c>
    </row>
    <row r="160" spans="1:39" ht="13.8" x14ac:dyDescent="0.25">
      <c r="A160" s="226" t="s">
        <v>449</v>
      </c>
      <c r="B160" s="13">
        <v>543028</v>
      </c>
      <c r="C160" s="50" t="s">
        <v>297</v>
      </c>
      <c r="D160" s="50" t="s">
        <v>537</v>
      </c>
      <c r="E160" s="13" t="s">
        <v>435</v>
      </c>
      <c r="F160" s="13"/>
      <c r="G160" s="13">
        <v>1000</v>
      </c>
      <c r="H160" s="13">
        <v>1</v>
      </c>
      <c r="I160" s="49" t="s">
        <v>430</v>
      </c>
      <c r="J160" s="88"/>
      <c r="K160" s="94"/>
      <c r="L160" s="73">
        <f>VLOOKUP(ProductCost[[#This Row],[Mix / Product Name]],'M - All'!$B$100:$D$330,3,FALSE)</f>
        <v>0.77700000000000002</v>
      </c>
      <c r="M160" s="19">
        <f>IFERROR(IF(OR(A160="PHF Horse Mixes",A160="Peckish",A160="Hay &amp; Straw",ProductCost[[#This Row],[Bagging Process]]=""),0,$Y$7),0)</f>
        <v>5.5E-2</v>
      </c>
      <c r="N160" s="19">
        <f>IFERROR(VLOOKUP(ProductCost[[#This Row],[Bagging Process]],$W$11:$Y$20,3,FALSE),0)</f>
        <v>0.04</v>
      </c>
      <c r="O160" s="23">
        <f t="shared" si="12"/>
        <v>0</v>
      </c>
      <c r="P160" s="23">
        <f t="shared" si="13"/>
        <v>1.72E-2</v>
      </c>
      <c r="Q160" s="23">
        <f t="shared" si="14"/>
        <v>7.0000000000000007E-2</v>
      </c>
      <c r="R160" s="227">
        <f t="shared" si="15"/>
        <v>0.95920000000000005</v>
      </c>
      <c r="T160" s="96">
        <f t="shared" si="16"/>
        <v>1.1697560975609755</v>
      </c>
      <c r="U160" s="114">
        <f t="shared" si="17"/>
        <v>1.26</v>
      </c>
      <c r="V160" s="4"/>
      <c r="AM160" s="1" t="str">
        <v>Steamed &amp; Rolled Oats</v>
      </c>
    </row>
    <row r="161" spans="1:39" ht="13.8" x14ac:dyDescent="0.25">
      <c r="A161" s="226" t="s">
        <v>449</v>
      </c>
      <c r="B161" s="13">
        <v>516887</v>
      </c>
      <c r="C161" s="50" t="s">
        <v>263</v>
      </c>
      <c r="D161" s="50" t="s">
        <v>537</v>
      </c>
      <c r="E161" s="13" t="s">
        <v>428</v>
      </c>
      <c r="F161" s="13"/>
      <c r="G161" s="13">
        <v>20</v>
      </c>
      <c r="H161" s="13">
        <v>48</v>
      </c>
      <c r="I161" s="49" t="s">
        <v>430</v>
      </c>
      <c r="J161" s="88"/>
      <c r="K161" s="94"/>
      <c r="L161" s="73">
        <f>VLOOKUP(ProductCost[[#This Row],[Mix / Product Name]],'M - All'!$B$100:$D$330,3,FALSE)</f>
        <v>0.77700000000000002</v>
      </c>
      <c r="M161" s="19">
        <f>IFERROR(IF(OR(A161="PHF Horse Mixes",A161="Peckish",A161="Hay &amp; Straw",ProductCost[[#This Row],[Bagging Process]]=""),0,$Y$7),0)</f>
        <v>5.5E-2</v>
      </c>
      <c r="N161" s="19">
        <f>IFERROR(VLOOKUP(ProductCost[[#This Row],[Bagging Process]],$W$11:$Y$20,3,FALSE),0)</f>
        <v>0.04</v>
      </c>
      <c r="O161" s="23">
        <f t="shared" si="12"/>
        <v>2.5000000000000001E-2</v>
      </c>
      <c r="P161" s="23">
        <f t="shared" si="13"/>
        <v>0.6925</v>
      </c>
      <c r="Q161" s="23">
        <f t="shared" si="14"/>
        <v>1.4583333333333333</v>
      </c>
      <c r="R161" s="227">
        <f t="shared" si="15"/>
        <v>20.090833333333336</v>
      </c>
      <c r="T161" s="96">
        <f t="shared" si="16"/>
        <v>24.501016260162604</v>
      </c>
      <c r="U161" s="114">
        <f t="shared" si="17"/>
        <v>26.3</v>
      </c>
      <c r="V161" s="4"/>
      <c r="AM161" s="1" t="str">
        <v>Stud Balancer</v>
      </c>
    </row>
    <row r="162" spans="1:39" ht="13.8" x14ac:dyDescent="0.25">
      <c r="A162" s="226" t="s">
        <v>449</v>
      </c>
      <c r="B162" s="13">
        <v>559574</v>
      </c>
      <c r="C162" s="50" t="s">
        <v>322</v>
      </c>
      <c r="D162" s="50" t="s">
        <v>537</v>
      </c>
      <c r="E162" s="13" t="s">
        <v>435</v>
      </c>
      <c r="F162" s="13"/>
      <c r="G162" s="13">
        <v>800</v>
      </c>
      <c r="H162" s="13">
        <v>1</v>
      </c>
      <c r="I162" s="49" t="s">
        <v>430</v>
      </c>
      <c r="J162" s="88"/>
      <c r="K162" s="94"/>
      <c r="L162" s="73">
        <f>VLOOKUP(ProductCost[[#This Row],[Mix / Product Name]],'M - All'!$B$100:$D$330,3,FALSE)</f>
        <v>0.77700000000000002</v>
      </c>
      <c r="M162" s="19">
        <f>IFERROR(IF(OR(A162="PHF Horse Mixes",A162="Peckish",A162="Hay &amp; Straw",ProductCost[[#This Row],[Bagging Process]]=""),0,$Y$7),0)</f>
        <v>5.5E-2</v>
      </c>
      <c r="N162" s="19">
        <f>IFERROR(VLOOKUP(ProductCost[[#This Row],[Bagging Process]],$W$11:$Y$20,3,FALSE),0)</f>
        <v>0.04</v>
      </c>
      <c r="O162" s="23">
        <f t="shared" si="12"/>
        <v>2.5000000000000001E-2</v>
      </c>
      <c r="P162" s="23">
        <f t="shared" si="13"/>
        <v>2.1499999999999998E-2</v>
      </c>
      <c r="Q162" s="23">
        <f t="shared" si="14"/>
        <v>8.7499999999999994E-2</v>
      </c>
      <c r="R162" s="227">
        <f t="shared" si="15"/>
        <v>1.006</v>
      </c>
      <c r="T162" s="96">
        <f t="shared" si="16"/>
        <v>1.2268292682926829</v>
      </c>
      <c r="U162" s="114">
        <f t="shared" si="17"/>
        <v>1.32</v>
      </c>
      <c r="V162" s="4"/>
      <c r="AM162" s="1" t="str">
        <v>Synergy</v>
      </c>
    </row>
    <row r="163" spans="1:39" ht="13.8" x14ac:dyDescent="0.25">
      <c r="A163" s="226" t="s">
        <v>449</v>
      </c>
      <c r="B163" s="13">
        <v>383790</v>
      </c>
      <c r="C163" s="50" t="s">
        <v>148</v>
      </c>
      <c r="D163" s="50" t="s">
        <v>149</v>
      </c>
      <c r="E163" s="13" t="s">
        <v>428</v>
      </c>
      <c r="F163" s="13"/>
      <c r="G163" s="13">
        <v>20</v>
      </c>
      <c r="H163" s="13">
        <v>48</v>
      </c>
      <c r="I163" s="49" t="s">
        <v>430</v>
      </c>
      <c r="J163" s="88"/>
      <c r="K163" s="94"/>
      <c r="L163" s="73">
        <f>VLOOKUP(ProductCost[[#This Row],[Mix / Product Name]],'M - All'!$B$100:$D$330,3,FALSE)</f>
        <v>0.38324999999999998</v>
      </c>
      <c r="M163" s="19">
        <f>IFERROR(IF(OR(A163="PHF Horse Mixes",A163="Peckish",A163="Hay &amp; Straw",ProductCost[[#This Row],[Bagging Process]]=""),0,$Y$7),0)</f>
        <v>5.5E-2</v>
      </c>
      <c r="N163" s="19">
        <f>IFERROR(VLOOKUP(ProductCost[[#This Row],[Bagging Process]],$W$11:$Y$20,3,FALSE),0)</f>
        <v>0.04</v>
      </c>
      <c r="O163" s="23">
        <f t="shared" si="12"/>
        <v>0</v>
      </c>
      <c r="P163" s="23">
        <f t="shared" si="13"/>
        <v>0.6925</v>
      </c>
      <c r="Q163" s="23">
        <f t="shared" si="14"/>
        <v>1.4583333333333333</v>
      </c>
      <c r="R163" s="227">
        <f t="shared" si="15"/>
        <v>11.715833333333332</v>
      </c>
      <c r="T163" s="96">
        <f t="shared" si="16"/>
        <v>14.287601626016258</v>
      </c>
      <c r="U163" s="114">
        <f t="shared" si="17"/>
        <v>15.4</v>
      </c>
      <c r="V163" s="4"/>
      <c r="AM163" s="1" t="str">
        <v>Teff Hay</v>
      </c>
    </row>
    <row r="164" spans="1:39" ht="13.8" x14ac:dyDescent="0.25">
      <c r="A164" s="226" t="s">
        <v>449</v>
      </c>
      <c r="B164" s="13">
        <v>497182</v>
      </c>
      <c r="C164" s="50" t="s">
        <v>230</v>
      </c>
      <c r="D164" s="50" t="s">
        <v>149</v>
      </c>
      <c r="E164" s="13" t="s">
        <v>428</v>
      </c>
      <c r="F164" s="13"/>
      <c r="G164" s="13">
        <v>20</v>
      </c>
      <c r="H164" s="13">
        <v>48</v>
      </c>
      <c r="I164" s="49" t="s">
        <v>430</v>
      </c>
      <c r="J164" s="88"/>
      <c r="K164" s="94"/>
      <c r="L164" s="73">
        <f>VLOOKUP(ProductCost[[#This Row],[Mix / Product Name]],'M - All'!$B$100:$D$330,3,FALSE)</f>
        <v>0.38324999999999998</v>
      </c>
      <c r="M164" s="19">
        <f>IFERROR(IF(OR(A164="PHF Horse Mixes",A164="Peckish",A164="Hay &amp; Straw",ProductCost[[#This Row],[Bagging Process]]=""),0,$Y$7),0)</f>
        <v>5.5E-2</v>
      </c>
      <c r="N164" s="19">
        <f>IFERROR(VLOOKUP(ProductCost[[#This Row],[Bagging Process]],$W$11:$Y$20,3,FALSE),0)</f>
        <v>0.04</v>
      </c>
      <c r="O164" s="23">
        <f t="shared" si="12"/>
        <v>2.5000000000000001E-2</v>
      </c>
      <c r="P164" s="23">
        <f t="shared" si="13"/>
        <v>0.6925</v>
      </c>
      <c r="Q164" s="23">
        <f t="shared" si="14"/>
        <v>1.4583333333333333</v>
      </c>
      <c r="R164" s="227">
        <f t="shared" si="15"/>
        <v>12.215833333333332</v>
      </c>
      <c r="T164" s="96">
        <f t="shared" si="16"/>
        <v>14.897357723577233</v>
      </c>
      <c r="U164" s="114">
        <f t="shared" si="17"/>
        <v>16</v>
      </c>
      <c r="V164" s="4"/>
      <c r="AM164" s="1" t="str">
        <v>Triaction</v>
      </c>
    </row>
    <row r="165" spans="1:39" ht="13.8" x14ac:dyDescent="0.25">
      <c r="A165" s="226" t="s">
        <v>449</v>
      </c>
      <c r="B165" s="13">
        <v>504508</v>
      </c>
      <c r="C165" s="50" t="s">
        <v>257</v>
      </c>
      <c r="D165" s="50" t="s">
        <v>149</v>
      </c>
      <c r="E165" s="13" t="s">
        <v>435</v>
      </c>
      <c r="F165" s="13"/>
      <c r="G165" s="13">
        <v>1000</v>
      </c>
      <c r="H165" s="13">
        <v>1</v>
      </c>
      <c r="I165" s="49" t="s">
        <v>430</v>
      </c>
      <c r="J165" s="88"/>
      <c r="K165" s="94"/>
      <c r="L165" s="73">
        <f>VLOOKUP(ProductCost[[#This Row],[Mix / Product Name]],'M - All'!$B$100:$D$330,3,FALSE)</f>
        <v>0.38324999999999998</v>
      </c>
      <c r="M165" s="19">
        <f>IFERROR(IF(OR(A165="PHF Horse Mixes",A165="Peckish",A165="Hay &amp; Straw",ProductCost[[#This Row],[Bagging Process]]=""),0,$Y$7),0)</f>
        <v>5.5E-2</v>
      </c>
      <c r="N165" s="19">
        <f>IFERROR(VLOOKUP(ProductCost[[#This Row],[Bagging Process]],$W$11:$Y$20,3,FALSE),0)</f>
        <v>0.04</v>
      </c>
      <c r="O165" s="23">
        <f t="shared" si="12"/>
        <v>2.5000000000000001E-2</v>
      </c>
      <c r="P165" s="23">
        <f t="shared" si="13"/>
        <v>1.72E-2</v>
      </c>
      <c r="Q165" s="23">
        <f t="shared" si="14"/>
        <v>7.0000000000000007E-2</v>
      </c>
      <c r="R165" s="227">
        <f t="shared" si="15"/>
        <v>0.59044999999999992</v>
      </c>
      <c r="T165" s="96">
        <f t="shared" si="16"/>
        <v>0.7200609756097559</v>
      </c>
      <c r="U165" s="114">
        <f t="shared" si="17"/>
        <v>0.78</v>
      </c>
      <c r="V165" s="4"/>
      <c r="AM165" s="1" t="str">
        <v>Vetch</v>
      </c>
    </row>
    <row r="166" spans="1:39" ht="13.8" x14ac:dyDescent="0.25">
      <c r="A166" s="226" t="s">
        <v>449</v>
      </c>
      <c r="B166" s="13">
        <v>383801</v>
      </c>
      <c r="C166" s="50" t="s">
        <v>165</v>
      </c>
      <c r="D166" s="50" t="s">
        <v>166</v>
      </c>
      <c r="E166" s="13" t="s">
        <v>428</v>
      </c>
      <c r="F166" s="13"/>
      <c r="G166" s="13">
        <v>25</v>
      </c>
      <c r="H166" s="13">
        <v>48</v>
      </c>
      <c r="I166" s="49" t="s">
        <v>430</v>
      </c>
      <c r="J166" s="88"/>
      <c r="K166" s="94"/>
      <c r="L166" s="73">
        <f>VLOOKUP(ProductCost[[#This Row],[Mix / Product Name]],'M - All'!$B$100:$D$330,3,FALSE)</f>
        <v>1.582875</v>
      </c>
      <c r="M166" s="19">
        <f>IFERROR(IF(OR(A166="PHF Horse Mixes",A166="Peckish",A166="Hay &amp; Straw",ProductCost[[#This Row],[Bagging Process]]=""),0,$Y$7),0)</f>
        <v>5.5E-2</v>
      </c>
      <c r="N166" s="19">
        <f>IFERROR(VLOOKUP(ProductCost[[#This Row],[Bagging Process]],$W$11:$Y$20,3,FALSE),0)</f>
        <v>0.04</v>
      </c>
      <c r="O166" s="23">
        <f t="shared" si="12"/>
        <v>0</v>
      </c>
      <c r="P166" s="23">
        <f t="shared" si="13"/>
        <v>0.6925</v>
      </c>
      <c r="Q166" s="23">
        <f t="shared" si="14"/>
        <v>1.4583333333333333</v>
      </c>
      <c r="R166" s="227">
        <f t="shared" si="15"/>
        <v>44.09770833333333</v>
      </c>
      <c r="T166" s="96">
        <f t="shared" si="16"/>
        <v>53.777693089430883</v>
      </c>
      <c r="U166" s="114">
        <f t="shared" si="17"/>
        <v>57.7</v>
      </c>
      <c r="V166" s="4"/>
      <c r="AM166" s="1" t="str">
        <v>Wheat</v>
      </c>
    </row>
    <row r="167" spans="1:39" ht="13.8" x14ac:dyDescent="0.25">
      <c r="A167" s="226" t="s">
        <v>449</v>
      </c>
      <c r="B167" s="13">
        <v>373023</v>
      </c>
      <c r="C167" s="50" t="s">
        <v>124</v>
      </c>
      <c r="D167" s="50" t="s">
        <v>538</v>
      </c>
      <c r="E167" s="13" t="s">
        <v>428</v>
      </c>
      <c r="F167" s="13"/>
      <c r="G167" s="13">
        <v>20</v>
      </c>
      <c r="H167" s="13">
        <v>48</v>
      </c>
      <c r="I167" s="49" t="s">
        <v>430</v>
      </c>
      <c r="J167" s="88">
        <v>0.10199999999999999</v>
      </c>
      <c r="K167" s="94">
        <v>0.16</v>
      </c>
      <c r="L167" s="73">
        <f>VLOOKUP(ProductCost[[#This Row],[Mix / Product Name]],'M - All'!$B$100:$D$330,3,FALSE)</f>
        <v>0.504</v>
      </c>
      <c r="M167" s="19">
        <f>IFERROR(IF(OR(A167="PHF Horse Mixes",A167="Peckish",A167="Hay &amp; Straw",ProductCost[[#This Row],[Bagging Process]]=""),0,$Y$7),0)</f>
        <v>5.5E-2</v>
      </c>
      <c r="N167" s="19">
        <f>IFERROR(VLOOKUP(ProductCost[[#This Row],[Bagging Process]],$W$11:$Y$20,3,FALSE),0)</f>
        <v>0.04</v>
      </c>
      <c r="O167" s="23">
        <f t="shared" si="12"/>
        <v>0</v>
      </c>
      <c r="P167" s="23">
        <f t="shared" si="13"/>
        <v>0.6925</v>
      </c>
      <c r="Q167" s="23">
        <f t="shared" si="14"/>
        <v>1.4583333333333333</v>
      </c>
      <c r="R167" s="227">
        <f t="shared" si="15"/>
        <v>14.130833333333335</v>
      </c>
      <c r="T167" s="96">
        <f t="shared" si="16"/>
        <v>15.73589458054937</v>
      </c>
      <c r="U167" s="114">
        <f t="shared" si="17"/>
        <v>16.900000000000002</v>
      </c>
      <c r="V167" s="4"/>
      <c r="AM167" s="1" t="str">
        <v>White French Millet</v>
      </c>
    </row>
    <row r="168" spans="1:39" ht="13.8" x14ac:dyDescent="0.25">
      <c r="A168" s="226" t="s">
        <v>449</v>
      </c>
      <c r="B168" s="13">
        <v>394989</v>
      </c>
      <c r="C168" s="50" t="s">
        <v>200</v>
      </c>
      <c r="D168" s="50" t="s">
        <v>538</v>
      </c>
      <c r="E168" s="13" t="s">
        <v>435</v>
      </c>
      <c r="F168" s="13"/>
      <c r="G168" s="13">
        <v>800</v>
      </c>
      <c r="H168" s="13">
        <v>1</v>
      </c>
      <c r="I168" s="49" t="s">
        <v>430</v>
      </c>
      <c r="J168" s="88"/>
      <c r="K168" s="94">
        <v>0.23499999999999999</v>
      </c>
      <c r="L168" s="73">
        <f>VLOOKUP(ProductCost[[#This Row],[Mix / Product Name]],'M - All'!$B$100:$D$330,3,FALSE)</f>
        <v>0.504</v>
      </c>
      <c r="M168" s="19">
        <f>IFERROR(IF(OR(A168="PHF Horse Mixes",A168="Peckish",A168="Hay &amp; Straw",ProductCost[[#This Row],[Bagging Process]]=""),0,$Y$7),0)</f>
        <v>5.5E-2</v>
      </c>
      <c r="N168" s="19">
        <f>IFERROR(VLOOKUP(ProductCost[[#This Row],[Bagging Process]],$W$11:$Y$20,3,FALSE),0)</f>
        <v>0.04</v>
      </c>
      <c r="O168" s="23">
        <f t="shared" si="12"/>
        <v>0</v>
      </c>
      <c r="P168" s="23">
        <f t="shared" si="13"/>
        <v>2.1499999999999998E-2</v>
      </c>
      <c r="Q168" s="23">
        <f t="shared" si="14"/>
        <v>8.7499999999999994E-2</v>
      </c>
      <c r="R168" s="227">
        <f t="shared" si="15"/>
        <v>0.70800000000000007</v>
      </c>
      <c r="T168" s="96">
        <f t="shared" si="16"/>
        <v>0.86341463414634145</v>
      </c>
      <c r="U168" s="114">
        <f t="shared" si="17"/>
        <v>0.93</v>
      </c>
      <c r="V168" s="4"/>
      <c r="AM168" s="1" t="str">
        <v>Yarran Oats</v>
      </c>
    </row>
    <row r="169" spans="1:39" ht="13.8" x14ac:dyDescent="0.25">
      <c r="A169" s="226" t="s">
        <v>449</v>
      </c>
      <c r="B169" s="13">
        <v>547340</v>
      </c>
      <c r="C169" s="50" t="s">
        <v>312</v>
      </c>
      <c r="D169" s="50" t="s">
        <v>538</v>
      </c>
      <c r="E169" s="13" t="s">
        <v>428</v>
      </c>
      <c r="F169" s="13"/>
      <c r="G169" s="13">
        <v>20</v>
      </c>
      <c r="H169" s="13">
        <v>48</v>
      </c>
      <c r="I169" s="49" t="s">
        <v>430</v>
      </c>
      <c r="J169" s="88"/>
      <c r="K169" s="94"/>
      <c r="L169" s="73">
        <f>VLOOKUP(ProductCost[[#This Row],[Mix / Product Name]],'M - All'!$B$100:$D$330,3,FALSE)</f>
        <v>0.504</v>
      </c>
      <c r="M169" s="19">
        <f>IFERROR(IF(OR(A169="PHF Horse Mixes",A169="Peckish",A169="Hay &amp; Straw",ProductCost[[#This Row],[Bagging Process]]=""),0,$Y$7),0)</f>
        <v>5.5E-2</v>
      </c>
      <c r="N169" s="19">
        <f>IFERROR(VLOOKUP(ProductCost[[#This Row],[Bagging Process]],$W$11:$Y$20,3,FALSE),0)</f>
        <v>0.04</v>
      </c>
      <c r="O169" s="23">
        <f t="shared" si="12"/>
        <v>2.5000000000000001E-2</v>
      </c>
      <c r="P169" s="23">
        <f t="shared" si="13"/>
        <v>0.6925</v>
      </c>
      <c r="Q169" s="23">
        <f t="shared" si="14"/>
        <v>1.4583333333333333</v>
      </c>
      <c r="R169" s="227">
        <f t="shared" si="15"/>
        <v>14.630833333333335</v>
      </c>
      <c r="T169" s="96">
        <f t="shared" si="16"/>
        <v>17.842479674796749</v>
      </c>
      <c r="U169" s="114">
        <f t="shared" si="17"/>
        <v>19.200000000000003</v>
      </c>
      <c r="V169" s="4"/>
    </row>
    <row r="170" spans="1:39" ht="13.8" x14ac:dyDescent="0.25">
      <c r="A170" s="226" t="s">
        <v>449</v>
      </c>
      <c r="B170" s="13">
        <v>517313</v>
      </c>
      <c r="C170" s="50" t="s">
        <v>267</v>
      </c>
      <c r="D170" s="50" t="s">
        <v>539</v>
      </c>
      <c r="E170" s="13" t="s">
        <v>428</v>
      </c>
      <c r="F170" s="13"/>
      <c r="G170" s="13">
        <v>20</v>
      </c>
      <c r="H170" s="13">
        <v>48</v>
      </c>
      <c r="I170" s="49" t="s">
        <v>430</v>
      </c>
      <c r="J170" s="88"/>
      <c r="K170" s="94"/>
      <c r="L170" s="73">
        <f>VLOOKUP(ProductCost[[#This Row],[Mix / Product Name]],'M - All'!$B$100:$D$330,3,FALSE)</f>
        <v>1.1339999999999999</v>
      </c>
      <c r="M170" s="19">
        <f>IFERROR(IF(OR(A170="PHF Horse Mixes",A170="Peckish",A170="Hay &amp; Straw",ProductCost[[#This Row],[Bagging Process]]=""),0,$Y$7),0)</f>
        <v>5.5E-2</v>
      </c>
      <c r="N170" s="19">
        <f>IFERROR(VLOOKUP(ProductCost[[#This Row],[Bagging Process]],$W$11:$Y$20,3,FALSE),0)</f>
        <v>0.04</v>
      </c>
      <c r="O170" s="23">
        <f t="shared" si="12"/>
        <v>0</v>
      </c>
      <c r="P170" s="23">
        <f t="shared" si="13"/>
        <v>0.6925</v>
      </c>
      <c r="Q170" s="23">
        <f t="shared" si="14"/>
        <v>1.4583333333333333</v>
      </c>
      <c r="R170" s="227">
        <f t="shared" si="15"/>
        <v>26.730833333333333</v>
      </c>
      <c r="T170" s="96">
        <f t="shared" si="16"/>
        <v>32.598577235772353</v>
      </c>
      <c r="U170" s="114">
        <f t="shared" si="17"/>
        <v>35</v>
      </c>
      <c r="V170" s="4"/>
    </row>
    <row r="171" spans="1:39" ht="13.8" x14ac:dyDescent="0.25">
      <c r="A171" s="226" t="s">
        <v>449</v>
      </c>
      <c r="B171" s="13">
        <v>383792</v>
      </c>
      <c r="C171" s="50" t="s">
        <v>27</v>
      </c>
      <c r="D171" s="50" t="s">
        <v>28</v>
      </c>
      <c r="E171" s="13" t="s">
        <v>428</v>
      </c>
      <c r="F171" s="13"/>
      <c r="G171" s="13">
        <v>20</v>
      </c>
      <c r="H171" s="13">
        <v>48</v>
      </c>
      <c r="I171" s="49" t="s">
        <v>430</v>
      </c>
      <c r="J171" s="88"/>
      <c r="K171" s="94"/>
      <c r="L171" s="73">
        <f>VLOOKUP(ProductCost[[#This Row],[Mix / Product Name]],'M - All'!$B$100:$D$330,3,FALSE)</f>
        <v>0.69847500000000007</v>
      </c>
      <c r="M171" s="19">
        <f>IFERROR(IF(OR(A171="PHF Horse Mixes",A171="Peckish",A171="Hay &amp; Straw",ProductCost[[#This Row],[Bagging Process]]=""),0,$Y$7),0)</f>
        <v>5.5E-2</v>
      </c>
      <c r="N171" s="19">
        <f>IFERROR(VLOOKUP(ProductCost[[#This Row],[Bagging Process]],$W$11:$Y$20,3,FALSE),0)</f>
        <v>0.04</v>
      </c>
      <c r="O171" s="23">
        <f t="shared" si="12"/>
        <v>0</v>
      </c>
      <c r="P171" s="23">
        <f t="shared" si="13"/>
        <v>0.6925</v>
      </c>
      <c r="Q171" s="23">
        <f t="shared" si="14"/>
        <v>1.4583333333333333</v>
      </c>
      <c r="R171" s="227">
        <f t="shared" si="15"/>
        <v>18.020333333333337</v>
      </c>
      <c r="T171" s="96">
        <f t="shared" si="16"/>
        <v>21.976016260162606</v>
      </c>
      <c r="U171" s="114">
        <f t="shared" si="17"/>
        <v>23.6</v>
      </c>
      <c r="V171" s="4"/>
    </row>
    <row r="172" spans="1:39" ht="13.8" x14ac:dyDescent="0.25">
      <c r="A172" s="226" t="s">
        <v>449</v>
      </c>
      <c r="B172" s="13">
        <v>550377</v>
      </c>
      <c r="C172" s="50" t="s">
        <v>108</v>
      </c>
      <c r="D172" s="50" t="s">
        <v>28</v>
      </c>
      <c r="E172" s="13" t="s">
        <v>435</v>
      </c>
      <c r="F172" s="13"/>
      <c r="G172" s="13">
        <v>1000</v>
      </c>
      <c r="H172" s="13">
        <v>1</v>
      </c>
      <c r="I172" s="49" t="s">
        <v>430</v>
      </c>
      <c r="J172" s="88"/>
      <c r="K172" s="94"/>
      <c r="L172" s="73">
        <f>VLOOKUP(ProductCost[[#This Row],[Mix / Product Name]],'M - All'!$B$100:$D$330,3,FALSE)</f>
        <v>0.69847500000000007</v>
      </c>
      <c r="M172" s="19">
        <f>IFERROR(IF(OR(A172="PHF Horse Mixes",A172="Peckish",A172="Hay &amp; Straw",ProductCost[[#This Row],[Bagging Process]]=""),0,$Y$7),0)</f>
        <v>5.5E-2</v>
      </c>
      <c r="N172" s="19">
        <f>IFERROR(VLOOKUP(ProductCost[[#This Row],[Bagging Process]],$W$11:$Y$20,3,FALSE),0)</f>
        <v>0.04</v>
      </c>
      <c r="O172" s="23">
        <f t="shared" si="12"/>
        <v>0</v>
      </c>
      <c r="P172" s="23">
        <f t="shared" si="13"/>
        <v>1.72E-2</v>
      </c>
      <c r="Q172" s="23">
        <f t="shared" si="14"/>
        <v>7.0000000000000007E-2</v>
      </c>
      <c r="R172" s="227">
        <f t="shared" si="15"/>
        <v>0.8806750000000001</v>
      </c>
      <c r="T172" s="96">
        <f t="shared" si="16"/>
        <v>1.0739939024390244</v>
      </c>
      <c r="U172" s="114">
        <f t="shared" si="17"/>
        <v>1.1599999999999999</v>
      </c>
      <c r="V172" s="4"/>
    </row>
    <row r="173" spans="1:39" ht="13.8" x14ac:dyDescent="0.25">
      <c r="A173" s="226" t="s">
        <v>449</v>
      </c>
      <c r="B173" s="13">
        <v>499435</v>
      </c>
      <c r="C173" s="50" t="s">
        <v>232</v>
      </c>
      <c r="D173" s="50" t="s">
        <v>233</v>
      </c>
      <c r="E173" s="13" t="s">
        <v>428</v>
      </c>
      <c r="F173" s="13"/>
      <c r="G173" s="13">
        <v>20</v>
      </c>
      <c r="H173" s="13">
        <v>48</v>
      </c>
      <c r="I173" s="49" t="s">
        <v>430</v>
      </c>
      <c r="J173" s="88"/>
      <c r="K173" s="94"/>
      <c r="L173" s="73">
        <f>VLOOKUP(ProductCost[[#This Row],[Mix / Product Name]],'M - All'!$B$100:$D$330,3,FALSE)</f>
        <v>1.659</v>
      </c>
      <c r="M173" s="19">
        <f>IFERROR(IF(OR(A173="PHF Horse Mixes",A173="Peckish",A173="Hay &amp; Straw",ProductCost[[#This Row],[Bagging Process]]=""),0,$Y$7),0)</f>
        <v>5.5E-2</v>
      </c>
      <c r="N173" s="19">
        <f>IFERROR(VLOOKUP(ProductCost[[#This Row],[Bagging Process]],$W$11:$Y$20,3,FALSE),0)</f>
        <v>0.04</v>
      </c>
      <c r="O173" s="23">
        <f t="shared" si="12"/>
        <v>0</v>
      </c>
      <c r="P173" s="23">
        <f t="shared" si="13"/>
        <v>0.6925</v>
      </c>
      <c r="Q173" s="23">
        <f t="shared" si="14"/>
        <v>1.4583333333333333</v>
      </c>
      <c r="R173" s="227">
        <f t="shared" si="15"/>
        <v>37.230833333333329</v>
      </c>
      <c r="T173" s="96">
        <f t="shared" si="16"/>
        <v>45.403455284552834</v>
      </c>
      <c r="U173" s="114">
        <f t="shared" si="17"/>
        <v>48.7</v>
      </c>
      <c r="V173" s="4"/>
    </row>
    <row r="174" spans="1:39" ht="13.8" x14ac:dyDescent="0.25">
      <c r="A174" s="226" t="s">
        <v>449</v>
      </c>
      <c r="B174" s="13">
        <v>542686</v>
      </c>
      <c r="C174" s="50" t="s">
        <v>295</v>
      </c>
      <c r="D174" s="50" t="s">
        <v>233</v>
      </c>
      <c r="E174" s="13" t="s">
        <v>435</v>
      </c>
      <c r="F174" s="13"/>
      <c r="G174" s="13">
        <v>1000</v>
      </c>
      <c r="H174" s="13">
        <v>1</v>
      </c>
      <c r="I174" s="49" t="s">
        <v>430</v>
      </c>
      <c r="J174" s="88"/>
      <c r="K174" s="94"/>
      <c r="L174" s="73">
        <f>VLOOKUP(ProductCost[[#This Row],[Mix / Product Name]],'M - All'!$B$100:$D$330,3,FALSE)</f>
        <v>1.659</v>
      </c>
      <c r="M174" s="19">
        <f>IFERROR(IF(OR(A174="PHF Horse Mixes",A174="Peckish",A174="Hay &amp; Straw",ProductCost[[#This Row],[Bagging Process]]=""),0,$Y$7),0)</f>
        <v>5.5E-2</v>
      </c>
      <c r="N174" s="19">
        <f>IFERROR(VLOOKUP(ProductCost[[#This Row],[Bagging Process]],$W$11:$Y$20,3,FALSE),0)</f>
        <v>0.04</v>
      </c>
      <c r="O174" s="23">
        <f t="shared" si="12"/>
        <v>0</v>
      </c>
      <c r="P174" s="23">
        <f t="shared" si="13"/>
        <v>1.72E-2</v>
      </c>
      <c r="Q174" s="23">
        <f t="shared" si="14"/>
        <v>7.0000000000000007E-2</v>
      </c>
      <c r="R174" s="227">
        <f t="shared" si="15"/>
        <v>1.8412000000000002</v>
      </c>
      <c r="T174" s="96">
        <f t="shared" si="16"/>
        <v>2.2453658536585368</v>
      </c>
      <c r="U174" s="114">
        <f t="shared" si="17"/>
        <v>2.4099999999999997</v>
      </c>
      <c r="V174" s="4"/>
    </row>
    <row r="175" spans="1:39" ht="13.8" x14ac:dyDescent="0.25">
      <c r="A175" s="226" t="s">
        <v>449</v>
      </c>
      <c r="B175" s="13">
        <v>383791</v>
      </c>
      <c r="C175" s="50" t="s">
        <v>151</v>
      </c>
      <c r="D175" s="50" t="s">
        <v>152</v>
      </c>
      <c r="E175" s="13" t="s">
        <v>428</v>
      </c>
      <c r="F175" s="13"/>
      <c r="G175" s="13">
        <v>20</v>
      </c>
      <c r="H175" s="13">
        <v>48</v>
      </c>
      <c r="I175" s="49" t="s">
        <v>430</v>
      </c>
      <c r="J175" s="88"/>
      <c r="K175" s="94"/>
      <c r="L175" s="73">
        <f>VLOOKUP(ProductCost[[#This Row],[Mix / Product Name]],'M - All'!$B$100:$D$330,3,FALSE)</f>
        <v>0.88200000000000001</v>
      </c>
      <c r="M175" s="19">
        <f>IFERROR(IF(OR(A175="PHF Horse Mixes",A175="Peckish",A175="Hay &amp; Straw",ProductCost[[#This Row],[Bagging Process]]=""),0,$Y$7),0)</f>
        <v>5.5E-2</v>
      </c>
      <c r="N175" s="19">
        <f>IFERROR(VLOOKUP(ProductCost[[#This Row],[Bagging Process]],$W$11:$Y$20,3,FALSE),0)</f>
        <v>0.04</v>
      </c>
      <c r="O175" s="23">
        <f t="shared" si="12"/>
        <v>0</v>
      </c>
      <c r="P175" s="23">
        <f t="shared" si="13"/>
        <v>0.6925</v>
      </c>
      <c r="Q175" s="23">
        <f t="shared" si="14"/>
        <v>1.4583333333333333</v>
      </c>
      <c r="R175" s="227">
        <f t="shared" si="15"/>
        <v>21.690833333333337</v>
      </c>
      <c r="T175" s="96">
        <f t="shared" si="16"/>
        <v>26.452235772357728</v>
      </c>
      <c r="U175" s="114">
        <f t="shared" si="17"/>
        <v>28.400000000000002</v>
      </c>
      <c r="V175" s="4"/>
    </row>
    <row r="176" spans="1:39" ht="13.8" x14ac:dyDescent="0.25">
      <c r="A176" s="226" t="s">
        <v>449</v>
      </c>
      <c r="B176" s="13">
        <v>503637</v>
      </c>
      <c r="C176" s="50" t="s">
        <v>88</v>
      </c>
      <c r="D176" s="50" t="s">
        <v>152</v>
      </c>
      <c r="E176" s="13" t="s">
        <v>435</v>
      </c>
      <c r="F176" s="13"/>
      <c r="G176" s="13">
        <v>1000</v>
      </c>
      <c r="H176" s="13">
        <v>1</v>
      </c>
      <c r="I176" s="49" t="s">
        <v>430</v>
      </c>
      <c r="J176" s="88"/>
      <c r="K176" s="94"/>
      <c r="L176" s="73">
        <f>VLOOKUP(ProductCost[[#This Row],[Mix / Product Name]],'M - All'!$B$100:$D$330,3,FALSE)</f>
        <v>0.88200000000000001</v>
      </c>
      <c r="M176" s="19">
        <f>IFERROR(IF(OR(A176="PHF Horse Mixes",A176="Peckish",A176="Hay &amp; Straw",ProductCost[[#This Row],[Bagging Process]]=""),0,$Y$7),0)</f>
        <v>5.5E-2</v>
      </c>
      <c r="N176" s="19">
        <f>IFERROR(VLOOKUP(ProductCost[[#This Row],[Bagging Process]],$W$11:$Y$20,3,FALSE),0)</f>
        <v>0.04</v>
      </c>
      <c r="O176" s="23">
        <f t="shared" si="12"/>
        <v>0</v>
      </c>
      <c r="P176" s="23">
        <f t="shared" si="13"/>
        <v>1.72E-2</v>
      </c>
      <c r="Q176" s="23">
        <f t="shared" si="14"/>
        <v>7.0000000000000007E-2</v>
      </c>
      <c r="R176" s="227">
        <f t="shared" si="15"/>
        <v>1.0642</v>
      </c>
      <c r="T176" s="96">
        <f t="shared" si="16"/>
        <v>1.2978048780487805</v>
      </c>
      <c r="U176" s="114">
        <f t="shared" si="17"/>
        <v>1.4</v>
      </c>
      <c r="V176" s="4"/>
    </row>
    <row r="177" spans="1:32" ht="13.8" x14ac:dyDescent="0.25">
      <c r="A177" s="226" t="s">
        <v>449</v>
      </c>
      <c r="B177" s="13">
        <v>383793</v>
      </c>
      <c r="C177" s="50" t="s">
        <v>32</v>
      </c>
      <c r="D177" s="50" t="s">
        <v>33</v>
      </c>
      <c r="E177" s="13" t="s">
        <v>428</v>
      </c>
      <c r="F177" s="13"/>
      <c r="G177" s="13">
        <v>20</v>
      </c>
      <c r="H177" s="13">
        <v>48</v>
      </c>
      <c r="I177" s="49" t="s">
        <v>430</v>
      </c>
      <c r="J177" s="88"/>
      <c r="K177" s="94"/>
      <c r="L177" s="73">
        <f>VLOOKUP(ProductCost[[#This Row],[Mix / Product Name]],'M - All'!$B$100:$D$330,3,FALSE)</f>
        <v>1.1655</v>
      </c>
      <c r="M177" s="19">
        <f>IFERROR(IF(OR(A177="PHF Horse Mixes",A177="Peckish",A177="Hay &amp; Straw",ProductCost[[#This Row],[Bagging Process]]=""),0,$Y$7),0)</f>
        <v>5.5E-2</v>
      </c>
      <c r="N177" s="19">
        <f>IFERROR(VLOOKUP(ProductCost[[#This Row],[Bagging Process]],$W$11:$Y$20,3,FALSE),0)</f>
        <v>0.04</v>
      </c>
      <c r="O177" s="23">
        <f t="shared" si="12"/>
        <v>0</v>
      </c>
      <c r="P177" s="23">
        <f t="shared" si="13"/>
        <v>0.6925</v>
      </c>
      <c r="Q177" s="23">
        <f t="shared" si="14"/>
        <v>1.4583333333333333</v>
      </c>
      <c r="R177" s="227">
        <f t="shared" si="15"/>
        <v>27.360833333333336</v>
      </c>
      <c r="T177" s="96">
        <f t="shared" si="16"/>
        <v>33.366869918699187</v>
      </c>
      <c r="U177" s="114">
        <f t="shared" si="17"/>
        <v>35.800000000000004</v>
      </c>
      <c r="V177" s="4"/>
    </row>
    <row r="178" spans="1:32" ht="13.8" x14ac:dyDescent="0.25">
      <c r="A178" s="226" t="s">
        <v>449</v>
      </c>
      <c r="B178" s="13">
        <v>503636</v>
      </c>
      <c r="C178" s="50" t="s">
        <v>86</v>
      </c>
      <c r="D178" s="50" t="s">
        <v>33</v>
      </c>
      <c r="E178" s="13" t="s">
        <v>435</v>
      </c>
      <c r="F178" s="13"/>
      <c r="G178" s="13">
        <v>800</v>
      </c>
      <c r="H178" s="13">
        <v>1</v>
      </c>
      <c r="I178" s="49" t="s">
        <v>430</v>
      </c>
      <c r="J178" s="88"/>
      <c r="K178" s="94"/>
      <c r="L178" s="73">
        <f>VLOOKUP(ProductCost[[#This Row],[Mix / Product Name]],'M - All'!$B$100:$D$330,3,FALSE)</f>
        <v>1.1655</v>
      </c>
      <c r="M178" s="19">
        <f>IFERROR(IF(OR(A178="PHF Horse Mixes",A178="Peckish",A178="Hay &amp; Straw",ProductCost[[#This Row],[Bagging Process]]=""),0,$Y$7),0)</f>
        <v>5.5E-2</v>
      </c>
      <c r="N178" s="19">
        <f>IFERROR(VLOOKUP(ProductCost[[#This Row],[Bagging Process]],$W$11:$Y$20,3,FALSE),0)</f>
        <v>0.04</v>
      </c>
      <c r="O178" s="23">
        <f t="shared" si="12"/>
        <v>0</v>
      </c>
      <c r="P178" s="23">
        <f t="shared" si="13"/>
        <v>2.1499999999999998E-2</v>
      </c>
      <c r="Q178" s="23">
        <f t="shared" si="14"/>
        <v>8.7499999999999994E-2</v>
      </c>
      <c r="R178" s="227">
        <f t="shared" si="15"/>
        <v>1.3694999999999999</v>
      </c>
      <c r="T178" s="96">
        <f t="shared" si="16"/>
        <v>1.670121951219512</v>
      </c>
      <c r="U178" s="114">
        <f t="shared" si="17"/>
        <v>1.8</v>
      </c>
      <c r="V178" s="4"/>
    </row>
    <row r="179" spans="1:32" ht="13.8" x14ac:dyDescent="0.25">
      <c r="A179" s="226" t="s">
        <v>449</v>
      </c>
      <c r="B179" s="13">
        <v>383794</v>
      </c>
      <c r="C179" s="50" t="s">
        <v>35</v>
      </c>
      <c r="D179" s="50" t="s">
        <v>36</v>
      </c>
      <c r="E179" s="13" t="s">
        <v>428</v>
      </c>
      <c r="F179" s="13"/>
      <c r="G179" s="13">
        <v>20</v>
      </c>
      <c r="H179" s="13">
        <v>48</v>
      </c>
      <c r="I179" s="49" t="s">
        <v>430</v>
      </c>
      <c r="J179" s="88"/>
      <c r="K179" s="94"/>
      <c r="L179" s="73">
        <f>VLOOKUP(ProductCost[[#This Row],[Mix / Product Name]],'M - All'!$B$100:$D$330,3,FALSE)</f>
        <v>0.47775000000000001</v>
      </c>
      <c r="M179" s="19">
        <f>IFERROR(IF(OR(A179="PHF Horse Mixes",A179="Peckish",A179="Hay &amp; Straw",ProductCost[[#This Row],[Bagging Process]]=""),0,$Y$7),0)</f>
        <v>5.5E-2</v>
      </c>
      <c r="N179" s="19">
        <f>IFERROR(VLOOKUP(ProductCost[[#This Row],[Bagging Process]],$W$11:$Y$20,3,FALSE),0)</f>
        <v>0.04</v>
      </c>
      <c r="O179" s="23">
        <f t="shared" si="12"/>
        <v>0</v>
      </c>
      <c r="P179" s="23">
        <f t="shared" si="13"/>
        <v>0.6925</v>
      </c>
      <c r="Q179" s="23">
        <f t="shared" si="14"/>
        <v>1.4583333333333333</v>
      </c>
      <c r="R179" s="227">
        <f t="shared" si="15"/>
        <v>13.605833333333335</v>
      </c>
      <c r="T179" s="96">
        <f t="shared" si="16"/>
        <v>16.592479674796749</v>
      </c>
      <c r="U179" s="114">
        <f t="shared" si="17"/>
        <v>17.8</v>
      </c>
      <c r="V179" s="4"/>
    </row>
    <row r="180" spans="1:32" ht="13.8" x14ac:dyDescent="0.25">
      <c r="A180" s="226" t="s">
        <v>449</v>
      </c>
      <c r="B180" s="13">
        <v>503635</v>
      </c>
      <c r="C180" s="50" t="s">
        <v>84</v>
      </c>
      <c r="D180" s="50" t="s">
        <v>36</v>
      </c>
      <c r="E180" s="13" t="s">
        <v>435</v>
      </c>
      <c r="F180" s="13"/>
      <c r="G180" s="13">
        <v>1000</v>
      </c>
      <c r="H180" s="13">
        <v>1</v>
      </c>
      <c r="I180" s="49" t="s">
        <v>430</v>
      </c>
      <c r="J180" s="88"/>
      <c r="K180" s="94"/>
      <c r="L180" s="73">
        <f>VLOOKUP(ProductCost[[#This Row],[Mix / Product Name]],'M - All'!$B$100:$D$330,3,FALSE)</f>
        <v>0.47775000000000001</v>
      </c>
      <c r="M180" s="19">
        <f>IFERROR(IF(OR(A180="PHF Horse Mixes",A180="Peckish",A180="Hay &amp; Straw",ProductCost[[#This Row],[Bagging Process]]=""),0,$Y$7),0)</f>
        <v>5.5E-2</v>
      </c>
      <c r="N180" s="19">
        <f>IFERROR(VLOOKUP(ProductCost[[#This Row],[Bagging Process]],$W$11:$Y$20,3,FALSE),0)</f>
        <v>0.04</v>
      </c>
      <c r="O180" s="23">
        <f t="shared" si="12"/>
        <v>0</v>
      </c>
      <c r="P180" s="23">
        <f t="shared" si="13"/>
        <v>1.72E-2</v>
      </c>
      <c r="Q180" s="23">
        <f t="shared" si="14"/>
        <v>7.0000000000000007E-2</v>
      </c>
      <c r="R180" s="227">
        <f t="shared" si="15"/>
        <v>0.65995000000000004</v>
      </c>
      <c r="T180" s="96">
        <f t="shared" si="16"/>
        <v>0.8048170731707317</v>
      </c>
      <c r="U180" s="114">
        <f t="shared" si="17"/>
        <v>0.87</v>
      </c>
      <c r="V180" s="4"/>
    </row>
    <row r="181" spans="1:32" ht="13.8" x14ac:dyDescent="0.25">
      <c r="A181" s="226" t="s">
        <v>449</v>
      </c>
      <c r="B181" s="13">
        <v>383798</v>
      </c>
      <c r="C181" s="50" t="s">
        <v>37</v>
      </c>
      <c r="D181" s="50" t="s">
        <v>38</v>
      </c>
      <c r="E181" s="13" t="s">
        <v>428</v>
      </c>
      <c r="F181" s="13"/>
      <c r="G181" s="13">
        <v>20</v>
      </c>
      <c r="H181" s="13">
        <v>48</v>
      </c>
      <c r="I181" s="49" t="s">
        <v>430</v>
      </c>
      <c r="J181" s="88"/>
      <c r="K181" s="94"/>
      <c r="L181" s="73">
        <f>VLOOKUP(ProductCost[[#This Row],[Mix / Product Name]],'M - All'!$B$100:$D$330,3,FALSE)</f>
        <v>0.59160000000000001</v>
      </c>
      <c r="M181" s="19">
        <f>IFERROR(IF(OR(A181="PHF Horse Mixes",A181="Peckish",A181="Hay &amp; Straw",ProductCost[[#This Row],[Bagging Process]]=""),0,$Y$7),0)</f>
        <v>5.5E-2</v>
      </c>
      <c r="N181" s="19">
        <f>IFERROR(VLOOKUP(ProductCost[[#This Row],[Bagging Process]],$W$11:$Y$20,3,FALSE),0)</f>
        <v>0.04</v>
      </c>
      <c r="O181" s="23">
        <f t="shared" si="12"/>
        <v>0</v>
      </c>
      <c r="P181" s="23">
        <f t="shared" si="13"/>
        <v>0.6925</v>
      </c>
      <c r="Q181" s="23">
        <f t="shared" si="14"/>
        <v>1.4583333333333333</v>
      </c>
      <c r="R181" s="227">
        <f t="shared" si="15"/>
        <v>15.882833333333336</v>
      </c>
      <c r="T181" s="96">
        <f t="shared" si="16"/>
        <v>19.369308943089433</v>
      </c>
      <c r="U181" s="114">
        <f t="shared" si="17"/>
        <v>20.8</v>
      </c>
      <c r="V181" s="4"/>
    </row>
    <row r="182" spans="1:32" ht="13.8" x14ac:dyDescent="0.25">
      <c r="A182" s="226" t="s">
        <v>449</v>
      </c>
      <c r="B182" s="13">
        <v>542627</v>
      </c>
      <c r="C182" s="50" t="s">
        <v>293</v>
      </c>
      <c r="D182" s="50" t="s">
        <v>38</v>
      </c>
      <c r="E182" s="13" t="s">
        <v>435</v>
      </c>
      <c r="F182" s="13"/>
      <c r="G182" s="13">
        <v>1000</v>
      </c>
      <c r="H182" s="13">
        <v>1</v>
      </c>
      <c r="I182" s="49" t="s">
        <v>430</v>
      </c>
      <c r="J182" s="88"/>
      <c r="K182" s="94"/>
      <c r="L182" s="73">
        <f>VLOOKUP(ProductCost[[#This Row],[Mix / Product Name]],'M - All'!$B$100:$D$330,3,FALSE)</f>
        <v>0.59160000000000001</v>
      </c>
      <c r="M182" s="19">
        <f>IFERROR(IF(OR(A182="PHF Horse Mixes",A182="Peckish",A182="Hay &amp; Straw",ProductCost[[#This Row],[Bagging Process]]=""),0,$Y$7),0)</f>
        <v>5.5E-2</v>
      </c>
      <c r="N182" s="19">
        <f>IFERROR(VLOOKUP(ProductCost[[#This Row],[Bagging Process]],$W$11:$Y$20,3,FALSE),0)</f>
        <v>0.04</v>
      </c>
      <c r="O182" s="23">
        <f t="shared" si="12"/>
        <v>0</v>
      </c>
      <c r="P182" s="23">
        <f t="shared" si="13"/>
        <v>1.72E-2</v>
      </c>
      <c r="Q182" s="23">
        <f t="shared" si="14"/>
        <v>7.0000000000000007E-2</v>
      </c>
      <c r="R182" s="227">
        <f t="shared" si="15"/>
        <v>0.77380000000000004</v>
      </c>
      <c r="T182" s="96">
        <f t="shared" si="16"/>
        <v>0.9436585365853658</v>
      </c>
      <c r="U182" s="114">
        <f t="shared" si="17"/>
        <v>1.02</v>
      </c>
      <c r="V182" s="4"/>
    </row>
    <row r="183" spans="1:32" ht="13.8" x14ac:dyDescent="0.25">
      <c r="A183" s="226" t="s">
        <v>449</v>
      </c>
      <c r="B183" s="13">
        <v>373022</v>
      </c>
      <c r="C183" s="50" t="s">
        <v>121</v>
      </c>
      <c r="D183" s="50" t="s">
        <v>122</v>
      </c>
      <c r="E183" s="13" t="s">
        <v>428</v>
      </c>
      <c r="F183" s="13"/>
      <c r="G183" s="13">
        <v>20</v>
      </c>
      <c r="H183" s="13">
        <v>48</v>
      </c>
      <c r="I183" s="49" t="s">
        <v>430</v>
      </c>
      <c r="J183" s="88">
        <v>0.10199999999999999</v>
      </c>
      <c r="K183" s="94">
        <v>0.16</v>
      </c>
      <c r="L183" s="73">
        <f>VLOOKUP(ProductCost[[#This Row],[Mix / Product Name]],'M - All'!$B$100:$D$330,3,FALSE)</f>
        <v>0.37275000000000003</v>
      </c>
      <c r="M183" s="19">
        <f>IFERROR(IF(OR(A183="PHF Horse Mixes",A183="Peckish",A183="Hay &amp; Straw",ProductCost[[#This Row],[Bagging Process]]=""),0,$Y$7),0)</f>
        <v>5.5E-2</v>
      </c>
      <c r="N183" s="19">
        <f>IFERROR(VLOOKUP(ProductCost[[#This Row],[Bagging Process]],$W$11:$Y$20,3,FALSE),0)</f>
        <v>0.04</v>
      </c>
      <c r="O183" s="23">
        <f t="shared" si="12"/>
        <v>0</v>
      </c>
      <c r="P183" s="23">
        <f t="shared" si="13"/>
        <v>0.6925</v>
      </c>
      <c r="Q183" s="23">
        <f t="shared" si="14"/>
        <v>1.4583333333333333</v>
      </c>
      <c r="R183" s="227">
        <f t="shared" si="15"/>
        <v>11.505833333333333</v>
      </c>
      <c r="T183" s="96">
        <f t="shared" si="16"/>
        <v>12.812731997030438</v>
      </c>
      <c r="U183" s="114">
        <f t="shared" si="17"/>
        <v>13.7</v>
      </c>
      <c r="V183" s="4"/>
    </row>
    <row r="184" spans="1:32" ht="13.8" x14ac:dyDescent="0.25">
      <c r="A184" s="226" t="s">
        <v>449</v>
      </c>
      <c r="B184" s="13">
        <v>473237</v>
      </c>
      <c r="C184" s="50" t="s">
        <v>76</v>
      </c>
      <c r="D184" s="50" t="s">
        <v>122</v>
      </c>
      <c r="E184" s="13" t="s">
        <v>435</v>
      </c>
      <c r="F184" s="13"/>
      <c r="G184" s="13">
        <v>1000</v>
      </c>
      <c r="H184" s="13">
        <v>1</v>
      </c>
      <c r="I184" s="49" t="s">
        <v>430</v>
      </c>
      <c r="J184" s="88"/>
      <c r="K184" s="94"/>
      <c r="L184" s="73">
        <f>VLOOKUP(ProductCost[[#This Row],[Mix / Product Name]],'M - All'!$B$100:$D$330,3,FALSE)</f>
        <v>0.37275000000000003</v>
      </c>
      <c r="M184" s="19">
        <f>IFERROR(IF(OR(A184="PHF Horse Mixes",A184="Peckish",A184="Hay &amp; Straw",ProductCost[[#This Row],[Bagging Process]]=""),0,$Y$7),0)</f>
        <v>5.5E-2</v>
      </c>
      <c r="N184" s="19">
        <f>IFERROR(VLOOKUP(ProductCost[[#This Row],[Bagging Process]],$W$11:$Y$20,3,FALSE),0)</f>
        <v>0.04</v>
      </c>
      <c r="O184" s="23">
        <f t="shared" si="12"/>
        <v>0</v>
      </c>
      <c r="P184" s="23">
        <f t="shared" si="13"/>
        <v>1.72E-2</v>
      </c>
      <c r="Q184" s="23">
        <f t="shared" si="14"/>
        <v>7.0000000000000007E-2</v>
      </c>
      <c r="R184" s="227">
        <f t="shared" si="15"/>
        <v>0.55495000000000005</v>
      </c>
      <c r="T184" s="96">
        <f t="shared" si="16"/>
        <v>0.67676829268292682</v>
      </c>
      <c r="U184" s="114">
        <f t="shared" si="17"/>
        <v>0.73</v>
      </c>
      <c r="V184" s="4"/>
    </row>
    <row r="185" spans="1:32" ht="13.8" x14ac:dyDescent="0.25">
      <c r="A185" s="226" t="s">
        <v>449</v>
      </c>
      <c r="B185" s="13">
        <v>383800</v>
      </c>
      <c r="C185" s="50" t="s">
        <v>162</v>
      </c>
      <c r="D185" s="50" t="s">
        <v>163</v>
      </c>
      <c r="E185" s="13" t="s">
        <v>428</v>
      </c>
      <c r="F185" s="13"/>
      <c r="G185" s="13">
        <v>20</v>
      </c>
      <c r="H185" s="13">
        <v>48</v>
      </c>
      <c r="I185" s="49" t="s">
        <v>430</v>
      </c>
      <c r="J185" s="88"/>
      <c r="K185" s="94"/>
      <c r="L185" s="73">
        <f>VLOOKUP(ProductCost[[#This Row],[Mix / Product Name]],'M - All'!$B$100:$D$330,3,FALSE)</f>
        <v>1.05</v>
      </c>
      <c r="M185" s="19">
        <f>IFERROR(IF(OR(A185="PHF Horse Mixes",A185="Peckish",A185="Hay &amp; Straw",ProductCost[[#This Row],[Bagging Process]]=""),0,$Y$7),0)</f>
        <v>5.5E-2</v>
      </c>
      <c r="N185" s="19">
        <f>IFERROR(VLOOKUP(ProductCost[[#This Row],[Bagging Process]],$W$11:$Y$20,3,FALSE),0)</f>
        <v>0.04</v>
      </c>
      <c r="O185" s="23">
        <f t="shared" si="12"/>
        <v>0</v>
      </c>
      <c r="P185" s="23">
        <f t="shared" si="13"/>
        <v>0.6925</v>
      </c>
      <c r="Q185" s="23">
        <f t="shared" si="14"/>
        <v>1.4583333333333333</v>
      </c>
      <c r="R185" s="227">
        <f t="shared" si="15"/>
        <v>25.050833333333333</v>
      </c>
      <c r="T185" s="96">
        <f t="shared" si="16"/>
        <v>30.549796747967477</v>
      </c>
      <c r="U185" s="114">
        <f t="shared" si="17"/>
        <v>32.800000000000004</v>
      </c>
      <c r="V185" s="4"/>
    </row>
    <row r="186" spans="1:32" ht="13.8" x14ac:dyDescent="0.25">
      <c r="A186" s="226" t="s">
        <v>449</v>
      </c>
      <c r="B186" s="13">
        <v>380860</v>
      </c>
      <c r="C186" s="50" t="s">
        <v>127</v>
      </c>
      <c r="D186" s="50" t="s">
        <v>128</v>
      </c>
      <c r="E186" s="13" t="s">
        <v>428</v>
      </c>
      <c r="F186" s="13"/>
      <c r="G186" s="13">
        <v>20</v>
      </c>
      <c r="H186" s="13">
        <v>48</v>
      </c>
      <c r="I186" s="49" t="s">
        <v>430</v>
      </c>
      <c r="J186" s="88"/>
      <c r="K186" s="94"/>
      <c r="L186" s="73">
        <f>VLOOKUP(ProductCost[[#This Row],[Mix / Product Name]],'M - All'!$B$100:$D$330,3,FALSE)</f>
        <v>0.43680000000000002</v>
      </c>
      <c r="M186" s="19">
        <f>IFERROR(IF(OR(A186="PHF Horse Mixes",A186="Peckish",A186="Hay &amp; Straw",ProductCost[[#This Row],[Bagging Process]]=""),0,$Y$7),0)</f>
        <v>5.5E-2</v>
      </c>
      <c r="N186" s="19">
        <f>IFERROR(VLOOKUP(ProductCost[[#This Row],[Bagging Process]],$W$11:$Y$20,3,FALSE),0)</f>
        <v>0.04</v>
      </c>
      <c r="O186" s="23">
        <f t="shared" si="12"/>
        <v>0</v>
      </c>
      <c r="P186" s="23">
        <f t="shared" si="13"/>
        <v>0.6925</v>
      </c>
      <c r="Q186" s="23">
        <f t="shared" si="14"/>
        <v>1.4583333333333333</v>
      </c>
      <c r="R186" s="227">
        <f t="shared" si="15"/>
        <v>12.786833333333334</v>
      </c>
      <c r="T186" s="96">
        <f t="shared" si="16"/>
        <v>15.59369918699187</v>
      </c>
      <c r="U186" s="114">
        <f t="shared" si="17"/>
        <v>16.8</v>
      </c>
      <c r="V186" s="4"/>
    </row>
    <row r="187" spans="1:32" ht="13.8" x14ac:dyDescent="0.25">
      <c r="A187" s="226" t="s">
        <v>449</v>
      </c>
      <c r="B187" s="13">
        <v>394591</v>
      </c>
      <c r="C187" s="50" t="s">
        <v>199</v>
      </c>
      <c r="D187" s="50" t="s">
        <v>128</v>
      </c>
      <c r="E187" s="13" t="s">
        <v>435</v>
      </c>
      <c r="F187" s="13"/>
      <c r="G187" s="13">
        <v>800</v>
      </c>
      <c r="H187" s="13">
        <v>1</v>
      </c>
      <c r="I187" s="49" t="s">
        <v>430</v>
      </c>
      <c r="J187" s="88"/>
      <c r="K187" s="94"/>
      <c r="L187" s="73">
        <f>VLOOKUP(ProductCost[[#This Row],[Mix / Product Name]],'M - All'!$B$100:$D$330,3,FALSE)</f>
        <v>0.43680000000000002</v>
      </c>
      <c r="M187" s="19">
        <f>IFERROR(IF(OR(A187="PHF Horse Mixes",A187="Peckish",A187="Hay &amp; Straw",ProductCost[[#This Row],[Bagging Process]]=""),0,$Y$7),0)</f>
        <v>5.5E-2</v>
      </c>
      <c r="N187" s="19">
        <f>IFERROR(VLOOKUP(ProductCost[[#This Row],[Bagging Process]],$W$11:$Y$20,3,FALSE),0)</f>
        <v>0.04</v>
      </c>
      <c r="O187" s="23">
        <f t="shared" si="12"/>
        <v>0</v>
      </c>
      <c r="P187" s="23">
        <f t="shared" si="13"/>
        <v>2.1499999999999998E-2</v>
      </c>
      <c r="Q187" s="23">
        <f t="shared" si="14"/>
        <v>8.7499999999999994E-2</v>
      </c>
      <c r="R187" s="227">
        <f t="shared" si="15"/>
        <v>0.64080000000000004</v>
      </c>
      <c r="T187" s="96">
        <f t="shared" si="16"/>
        <v>0.78146341463414637</v>
      </c>
      <c r="U187" s="114">
        <f t="shared" si="17"/>
        <v>0.84</v>
      </c>
      <c r="V187" s="4"/>
    </row>
    <row r="188" spans="1:32" s="59" customFormat="1" ht="13.8" x14ac:dyDescent="0.25">
      <c r="A188" s="226" t="s">
        <v>449</v>
      </c>
      <c r="B188" s="45">
        <v>555693</v>
      </c>
      <c r="C188" s="50" t="s">
        <v>316</v>
      </c>
      <c r="D188" s="50" t="s">
        <v>122</v>
      </c>
      <c r="E188" s="45" t="s">
        <v>428</v>
      </c>
      <c r="F188" s="45"/>
      <c r="G188" s="45">
        <v>20</v>
      </c>
      <c r="H188" s="45">
        <v>48</v>
      </c>
      <c r="I188" s="49" t="s">
        <v>430</v>
      </c>
      <c r="J188" s="45"/>
      <c r="K188" s="123"/>
      <c r="L188" s="73">
        <f>VLOOKUP(ProductCost[[#This Row],[Mix / Product Name]],'M - All'!$B$100:$D$330,3,FALSE)</f>
        <v>0.37275000000000003</v>
      </c>
      <c r="M188" s="19">
        <f>IFERROR(IF(OR(A188="PHF Horse Mixes",A188="Peckish",A188="Hay &amp; Straw",ProductCost[[#This Row],[Bagging Process]]=""),0,$Y$7),0)</f>
        <v>5.5E-2</v>
      </c>
      <c r="N188" s="19">
        <f>IFERROR(VLOOKUP(ProductCost[[#This Row],[Bagging Process]],$W$11:$Y$20,3,FALSE),0)</f>
        <v>0.04</v>
      </c>
      <c r="O188" s="23">
        <f t="shared" si="12"/>
        <v>2.5000000000000001E-2</v>
      </c>
      <c r="P188" s="23">
        <f t="shared" si="13"/>
        <v>0.6925</v>
      </c>
      <c r="Q188" s="23">
        <f t="shared" si="14"/>
        <v>1.4583333333333333</v>
      </c>
      <c r="R188" s="227">
        <f t="shared" si="15"/>
        <v>12.005833333333333</v>
      </c>
      <c r="T188" s="96">
        <f t="shared" si="16"/>
        <v>14.641260162601625</v>
      </c>
      <c r="U188" s="114">
        <f t="shared" si="17"/>
        <v>15.7</v>
      </c>
      <c r="V188" s="288"/>
      <c r="W188" s="1"/>
      <c r="AF188" s="1"/>
    </row>
    <row r="189" spans="1:32" s="59" customFormat="1" ht="13.8" x14ac:dyDescent="0.25">
      <c r="A189" s="226" t="s">
        <v>449</v>
      </c>
      <c r="B189" s="45">
        <v>577243</v>
      </c>
      <c r="C189" s="50" t="s">
        <v>119</v>
      </c>
      <c r="D189" s="50" t="s">
        <v>540</v>
      </c>
      <c r="E189" s="45" t="s">
        <v>435</v>
      </c>
      <c r="F189" s="45"/>
      <c r="G189" s="45">
        <v>1000</v>
      </c>
      <c r="H189" s="45">
        <v>1</v>
      </c>
      <c r="I189" s="49" t="s">
        <v>430</v>
      </c>
      <c r="J189" s="45"/>
      <c r="K189" s="123"/>
      <c r="L189" s="73">
        <f>VLOOKUP(ProductCost[[#This Row],[Mix / Product Name]],'M - All'!$B$100:$D$330,3,FALSE)</f>
        <v>0.60299999999999998</v>
      </c>
      <c r="M189" s="19">
        <f>IFERROR(IF(OR(A189="PHF Horse Mixes",A189="Peckish",A189="Hay &amp; Straw",ProductCost[[#This Row],[Bagging Process]]=""),0,$Y$7),0)</f>
        <v>5.5E-2</v>
      </c>
      <c r="N189" s="19">
        <f>IFERROR(VLOOKUP(ProductCost[[#This Row],[Bagging Process]],$W$11:$Y$20,3,FALSE),0)</f>
        <v>0.04</v>
      </c>
      <c r="O189" s="23">
        <f t="shared" si="12"/>
        <v>0</v>
      </c>
      <c r="P189" s="23">
        <f t="shared" si="13"/>
        <v>1.72E-2</v>
      </c>
      <c r="Q189" s="23">
        <f t="shared" si="14"/>
        <v>7.0000000000000007E-2</v>
      </c>
      <c r="R189" s="227">
        <f t="shared" si="15"/>
        <v>0.78520000000000012</v>
      </c>
      <c r="T189" s="96">
        <f t="shared" si="16"/>
        <v>0.95756097560975617</v>
      </c>
      <c r="U189" s="114">
        <f t="shared" si="17"/>
        <v>1.03</v>
      </c>
      <c r="V189" s="288"/>
      <c r="W189" s="1"/>
      <c r="AF189" s="1"/>
    </row>
    <row r="190" spans="1:32" s="59" customFormat="1" ht="13.8" x14ac:dyDescent="0.25">
      <c r="A190" s="226" t="s">
        <v>449</v>
      </c>
      <c r="B190" s="45">
        <v>568240</v>
      </c>
      <c r="C190" s="50" t="s">
        <v>396</v>
      </c>
      <c r="D190" s="50" t="s">
        <v>540</v>
      </c>
      <c r="E190" s="45" t="s">
        <v>428</v>
      </c>
      <c r="F190" s="45"/>
      <c r="G190" s="45">
        <v>20</v>
      </c>
      <c r="H190" s="45">
        <v>48</v>
      </c>
      <c r="I190" s="49" t="s">
        <v>430</v>
      </c>
      <c r="J190" s="45"/>
      <c r="K190" s="123"/>
      <c r="L190" s="73">
        <f>VLOOKUP(ProductCost[[#This Row],[Mix / Product Name]],'M - All'!$B$100:$D$330,3,FALSE)</f>
        <v>0.60299999999999998</v>
      </c>
      <c r="M190" s="19">
        <f>IFERROR(IF(OR(A190="PHF Horse Mixes",A190="Peckish",A190="Hay &amp; Straw",ProductCost[[#This Row],[Bagging Process]]=""),0,$Y$7),0)</f>
        <v>5.5E-2</v>
      </c>
      <c r="N190" s="19">
        <f>IFERROR(VLOOKUP(ProductCost[[#This Row],[Bagging Process]],$W$11:$Y$20,3,FALSE),0)</f>
        <v>0.04</v>
      </c>
      <c r="O190" s="23">
        <f t="shared" si="12"/>
        <v>0</v>
      </c>
      <c r="P190" s="23">
        <f t="shared" si="13"/>
        <v>0.6925</v>
      </c>
      <c r="Q190" s="23">
        <f t="shared" si="14"/>
        <v>1.4583333333333333</v>
      </c>
      <c r="R190" s="227">
        <f t="shared" si="15"/>
        <v>16.110833333333336</v>
      </c>
      <c r="T190" s="96">
        <f t="shared" si="16"/>
        <v>19.647357723577237</v>
      </c>
      <c r="U190" s="114">
        <f t="shared" si="17"/>
        <v>21.1</v>
      </c>
      <c r="V190" s="288"/>
      <c r="W190" s="1"/>
      <c r="AF190" s="1"/>
    </row>
    <row r="191" spans="1:32" s="59" customFormat="1" ht="13.8" x14ac:dyDescent="0.25">
      <c r="A191" s="226" t="s">
        <v>449</v>
      </c>
      <c r="B191" s="45">
        <v>568241</v>
      </c>
      <c r="C191" s="50" t="s">
        <v>397</v>
      </c>
      <c r="D191" s="50" t="s">
        <v>541</v>
      </c>
      <c r="E191" s="45" t="s">
        <v>428</v>
      </c>
      <c r="F191" s="45"/>
      <c r="G191" s="45">
        <v>20</v>
      </c>
      <c r="H191" s="45">
        <v>48</v>
      </c>
      <c r="I191" s="49" t="s">
        <v>430</v>
      </c>
      <c r="J191" s="45"/>
      <c r="K191" s="123"/>
      <c r="L191" s="73">
        <f>VLOOKUP(ProductCost[[#This Row],[Mix / Product Name]],'M - All'!$B$100:$D$330,3,FALSE)</f>
        <v>0.86299999999999999</v>
      </c>
      <c r="M191" s="19">
        <f>IFERROR(IF(OR(A191="PHF Horse Mixes",A191="Peckish",A191="Hay &amp; Straw",ProductCost[[#This Row],[Bagging Process]]=""),0,$Y$7),0)</f>
        <v>5.5E-2</v>
      </c>
      <c r="N191" s="19">
        <f>IFERROR(VLOOKUP(ProductCost[[#This Row],[Bagging Process]],$W$11:$Y$20,3,FALSE),0)</f>
        <v>0.04</v>
      </c>
      <c r="O191" s="23">
        <f t="shared" si="12"/>
        <v>0</v>
      </c>
      <c r="P191" s="23">
        <f t="shared" si="13"/>
        <v>0.6925</v>
      </c>
      <c r="Q191" s="23">
        <f t="shared" si="14"/>
        <v>1.4583333333333333</v>
      </c>
      <c r="R191" s="227">
        <f t="shared" si="15"/>
        <v>21.310833333333335</v>
      </c>
      <c r="T191" s="96">
        <f t="shared" si="16"/>
        <v>25.988821138211382</v>
      </c>
      <c r="U191" s="114">
        <f t="shared" si="17"/>
        <v>27.900000000000002</v>
      </c>
      <c r="V191" s="288"/>
      <c r="W191" s="1"/>
      <c r="AF191" s="1"/>
    </row>
    <row r="192" spans="1:32" ht="13.8" x14ac:dyDescent="0.25">
      <c r="A192" s="226" t="s">
        <v>447</v>
      </c>
      <c r="B192" s="13">
        <v>516886</v>
      </c>
      <c r="C192" s="50" t="s">
        <v>260</v>
      </c>
      <c r="D192" s="50" t="s">
        <v>542</v>
      </c>
      <c r="E192" s="13" t="s">
        <v>428</v>
      </c>
      <c r="F192" s="13"/>
      <c r="G192" s="13">
        <v>20</v>
      </c>
      <c r="H192" s="13">
        <v>48</v>
      </c>
      <c r="I192" s="49" t="s">
        <v>437</v>
      </c>
      <c r="J192" s="13"/>
      <c r="K192" s="115"/>
      <c r="L192" s="73">
        <f>VLOOKUP(ProductCost[[#This Row],[Mix / Product Name]],'M - All'!$B$100:$D$330,3,FALSE)</f>
        <v>0.93921177685950408</v>
      </c>
      <c r="M192" s="19">
        <f>IFERROR(IF(OR(A192="PHF Horse Mixes",A192="Peckish",A192="Hay &amp; Straw",ProductCost[[#This Row],[Bagging Process]]=""),0,$Y$7),0)</f>
        <v>5.5E-2</v>
      </c>
      <c r="N192" s="19">
        <f>IFERROR(VLOOKUP(ProductCost[[#This Row],[Bagging Process]],$W$11:$Y$20,3,FALSE),0)</f>
        <v>0.08</v>
      </c>
      <c r="O192" s="23">
        <f t="shared" si="12"/>
        <v>0</v>
      </c>
      <c r="P192" s="23">
        <f t="shared" si="13"/>
        <v>0.6925</v>
      </c>
      <c r="Q192" s="23">
        <f t="shared" si="14"/>
        <v>1.4583333333333333</v>
      </c>
      <c r="R192" s="228">
        <f t="shared" si="15"/>
        <v>23.635068870523416</v>
      </c>
      <c r="T192" s="222">
        <f t="shared" si="16"/>
        <v>30.496863058739891</v>
      </c>
      <c r="U192" s="114">
        <f t="shared" si="17"/>
        <v>34.300000000000004</v>
      </c>
      <c r="V192" s="4"/>
    </row>
    <row r="193" spans="1:32" ht="13.8" x14ac:dyDescent="0.25">
      <c r="A193" s="226" t="s">
        <v>447</v>
      </c>
      <c r="B193" s="13">
        <v>534727</v>
      </c>
      <c r="C193" s="50" t="s">
        <v>270</v>
      </c>
      <c r="D193" s="50" t="s">
        <v>542</v>
      </c>
      <c r="E193" s="13" t="s">
        <v>435</v>
      </c>
      <c r="F193" s="13"/>
      <c r="G193" s="13">
        <v>1000</v>
      </c>
      <c r="H193" s="13">
        <v>1</v>
      </c>
      <c r="I193" s="49" t="s">
        <v>437</v>
      </c>
      <c r="J193" s="13"/>
      <c r="K193" s="115"/>
      <c r="L193" s="73">
        <f>VLOOKUP(ProductCost[[#This Row],[Mix / Product Name]],'M - All'!$B$100:$D$330,3,FALSE)</f>
        <v>0.93921177685950408</v>
      </c>
      <c r="M193" s="19">
        <f>IFERROR(IF(OR(A193="PHF Horse Mixes",A193="Peckish",A193="Hay &amp; Straw",ProductCost[[#This Row],[Bagging Process]]=""),0,$Y$7),0)</f>
        <v>5.5E-2</v>
      </c>
      <c r="N193" s="19">
        <f>IFERROR(VLOOKUP(ProductCost[[#This Row],[Bagging Process]],$W$11:$Y$20,3,FALSE),0)</f>
        <v>0.08</v>
      </c>
      <c r="O193" s="23">
        <f t="shared" si="12"/>
        <v>0</v>
      </c>
      <c r="P193" s="23">
        <f t="shared" si="13"/>
        <v>1.72E-2</v>
      </c>
      <c r="Q193" s="23">
        <f t="shared" si="14"/>
        <v>7.0000000000000007E-2</v>
      </c>
      <c r="R193" s="228">
        <f t="shared" si="15"/>
        <v>1.1614117768595043</v>
      </c>
      <c r="T193" s="222">
        <f t="shared" si="16"/>
        <v>1.4985958411090377</v>
      </c>
      <c r="U193" s="114">
        <f t="shared" si="17"/>
        <v>1.7000000000000002</v>
      </c>
      <c r="V193" s="4"/>
    </row>
    <row r="194" spans="1:32" ht="13.8" x14ac:dyDescent="0.25">
      <c r="A194" s="226" t="s">
        <v>447</v>
      </c>
      <c r="B194" s="13">
        <v>564811</v>
      </c>
      <c r="C194" s="50" t="s">
        <v>380</v>
      </c>
      <c r="D194" s="50" t="s">
        <v>380</v>
      </c>
      <c r="E194" s="13" t="s">
        <v>428</v>
      </c>
      <c r="F194" s="13"/>
      <c r="G194" s="13">
        <v>20</v>
      </c>
      <c r="H194" s="13">
        <v>48</v>
      </c>
      <c r="I194" s="49" t="s">
        <v>437</v>
      </c>
      <c r="J194" s="13"/>
      <c r="K194" s="115">
        <v>0.25</v>
      </c>
      <c r="L194" s="73">
        <f>VLOOKUP(ProductCost[[#This Row],[Mix / Product Name]],'M - All'!$B$100:$D$330,3,FALSE)</f>
        <v>0.46337393364928914</v>
      </c>
      <c r="M194" s="19">
        <f>IFERROR(IF(OR(A194="PHF Horse Mixes",A194="Peckish",A194="Hay &amp; Straw",ProductCost[[#This Row],[Bagging Process]]=""),0,$Y$7),0)</f>
        <v>5.5E-2</v>
      </c>
      <c r="N194" s="19">
        <f>IFERROR(VLOOKUP(ProductCost[[#This Row],[Bagging Process]],$W$11:$Y$20,3,FALSE),0)</f>
        <v>0.08</v>
      </c>
      <c r="O194" s="23">
        <f t="shared" si="12"/>
        <v>0</v>
      </c>
      <c r="P194" s="23">
        <f t="shared" si="13"/>
        <v>0.6925</v>
      </c>
      <c r="Q194" s="23">
        <f t="shared" si="14"/>
        <v>1.4583333333333333</v>
      </c>
      <c r="R194" s="227">
        <f t="shared" si="15"/>
        <v>14.118312006319115</v>
      </c>
      <c r="T194" s="96">
        <f t="shared" si="16"/>
        <v>18.217176782347245</v>
      </c>
      <c r="U194" s="114">
        <f t="shared" si="17"/>
        <v>18.900000000000002</v>
      </c>
      <c r="V194" s="4"/>
    </row>
    <row r="195" spans="1:32" ht="13.8" x14ac:dyDescent="0.25">
      <c r="A195" s="232" t="s">
        <v>447</v>
      </c>
      <c r="B195" s="31">
        <v>568239</v>
      </c>
      <c r="C195" s="233" t="s">
        <v>394</v>
      </c>
      <c r="D195" s="233" t="s">
        <v>394</v>
      </c>
      <c r="E195" s="31" t="s">
        <v>428</v>
      </c>
      <c r="F195" s="31"/>
      <c r="G195" s="31">
        <v>20</v>
      </c>
      <c r="H195" s="31">
        <v>48</v>
      </c>
      <c r="I195" s="49" t="s">
        <v>437</v>
      </c>
      <c r="J195" s="31"/>
      <c r="K195" s="235">
        <v>0.2</v>
      </c>
      <c r="L195" s="236">
        <f>VLOOKUP(ProductCost[[#This Row],[Mix / Product Name]],'M - All'!$B$100:$D$330,3,FALSE)</f>
        <v>0.48703924999999998</v>
      </c>
      <c r="M195" s="107">
        <f>IFERROR(IF(OR(A195="PHF Horse Mixes",A195="Peckish",A195="Hay &amp; Straw",ProductCost[[#This Row],[Bagging Process]]=""),0,$Y$7),0)</f>
        <v>5.5E-2</v>
      </c>
      <c r="N195" s="107">
        <f>IFERROR(VLOOKUP(ProductCost[[#This Row],[Bagging Process]],$W$11:$Y$20,3,FALSE),0)</f>
        <v>0.08</v>
      </c>
      <c r="O195" s="237">
        <f t="shared" si="12"/>
        <v>0</v>
      </c>
      <c r="P195" s="237">
        <f t="shared" si="13"/>
        <v>0.6925</v>
      </c>
      <c r="Q195" s="237">
        <f t="shared" si="14"/>
        <v>1.4583333333333333</v>
      </c>
      <c r="R195" s="238">
        <f t="shared" si="15"/>
        <v>14.591618333333331</v>
      </c>
      <c r="T195" s="96">
        <f t="shared" si="16"/>
        <v>18.827894623655911</v>
      </c>
      <c r="U195" s="114">
        <f t="shared" si="17"/>
        <v>18.3</v>
      </c>
      <c r="V195" s="4"/>
    </row>
    <row r="196" spans="1:32" s="59" customFormat="1" ht="13.8" x14ac:dyDescent="0.25">
      <c r="A196" s="226" t="s">
        <v>21</v>
      </c>
      <c r="B196" s="13">
        <v>380861</v>
      </c>
      <c r="C196" s="50" t="s">
        <v>130</v>
      </c>
      <c r="D196" s="50" t="s">
        <v>131</v>
      </c>
      <c r="E196" s="13" t="s">
        <v>442</v>
      </c>
      <c r="F196" s="13" t="s">
        <v>436</v>
      </c>
      <c r="G196" s="13">
        <v>1</v>
      </c>
      <c r="H196" s="13">
        <v>30</v>
      </c>
      <c r="I196" s="49" t="s">
        <v>21</v>
      </c>
      <c r="J196" s="13"/>
      <c r="K196" s="115"/>
      <c r="L196" s="73">
        <f>VLOOKUP(ProductCost[[#This Row],[Mix / Product Name]],'M - All'!$B$100:$D$330,3,FALSE)</f>
        <v>15.15</v>
      </c>
      <c r="M196" s="19">
        <f>IFERROR(IF(OR(A196="PHF Horse Mixes",A196="Peckish",A196="Hay &amp; Straw",ProductCost[[#This Row],[Bagging Process]]=""),0,$Y$7),0)</f>
        <v>0</v>
      </c>
      <c r="N196" s="19">
        <f>IFERROR(VLOOKUP(ProductCost[[#This Row],[Bagging Process]],$W$11:$Y$20,3,FALSE),0)</f>
        <v>0.6</v>
      </c>
      <c r="O196" s="23">
        <f t="shared" si="12"/>
        <v>0</v>
      </c>
      <c r="P196" s="23">
        <f t="shared" si="13"/>
        <v>0</v>
      </c>
      <c r="Q196" s="23">
        <f t="shared" si="14"/>
        <v>3.5</v>
      </c>
      <c r="R196" s="227">
        <f t="shared" si="15"/>
        <v>19.25</v>
      </c>
      <c r="T196" s="96">
        <f t="shared" si="16"/>
        <v>23.475609756097558</v>
      </c>
      <c r="U196" s="114">
        <f t="shared" si="17"/>
        <v>27</v>
      </c>
      <c r="V196" s="288"/>
      <c r="W196" s="1"/>
      <c r="AF196" s="1"/>
    </row>
    <row r="197" spans="1:32" s="59" customFormat="1" ht="13.8" x14ac:dyDescent="0.25">
      <c r="A197" s="226" t="s">
        <v>21</v>
      </c>
      <c r="B197" s="13">
        <v>380862</v>
      </c>
      <c r="C197" s="50" t="s">
        <v>133</v>
      </c>
      <c r="D197" s="50"/>
      <c r="E197" s="13" t="s">
        <v>442</v>
      </c>
      <c r="F197" s="13" t="s">
        <v>436</v>
      </c>
      <c r="G197" s="13">
        <v>1</v>
      </c>
      <c r="H197" s="13">
        <v>30</v>
      </c>
      <c r="I197" s="49" t="s">
        <v>21</v>
      </c>
      <c r="J197" s="13"/>
      <c r="K197" s="115"/>
      <c r="L197" s="239">
        <v>2.7</v>
      </c>
      <c r="M197" s="19">
        <f>IFERROR(IF(OR(A197="PHF Horse Mixes",A197="Peckish",A197="Hay &amp; Straw",ProductCost[[#This Row],[Bagging Process]]=""),0,$Y$7),0)</f>
        <v>0</v>
      </c>
      <c r="N197" s="19">
        <f>IFERROR(VLOOKUP(ProductCost[[#This Row],[Bagging Process]],$W$11:$Y$20,3,FALSE),0)</f>
        <v>0.6</v>
      </c>
      <c r="O197" s="23">
        <f t="shared" ref="O197:O205" si="18">IF(ISNUMBER(SEARCH("Cracked",C197)),$Y$8,0)</f>
        <v>0</v>
      </c>
      <c r="P197" s="23">
        <f t="shared" ref="P197:P205" si="19">IF(A197="Peckish",$X$28,IF(E197="1.5 kg",$X$27,IF(F197= "No bag",0,IF(E197="Standard",$X$24,$X$25/G197)+IF(F197="Yes",-$X$26,0))))</f>
        <v>0</v>
      </c>
      <c r="Q197" s="23">
        <f t="shared" ref="Q197:Q205" si="20">IF(A197="Peckish",$X$36/H197,IF(A197="Hay &amp; Straw",$X$37/H197,IF(OR(E197="Standard",E197="Per Unit"),$X$35/H197,IF(E197="Bulka",$X$35/G197,$X$35/1000*G197))))</f>
        <v>3.5</v>
      </c>
      <c r="R197" s="227">
        <f t="shared" ref="R197:R205" si="21">IF(E197="Standard",SUM(L197:O197)*G197+SUM(P197:Q197),IF(OR(E197="Bulka",E197="Per Unit"),SUM(L197:Q197),(SUM(L197:O197)*G197+SUM(P197:Q197))*8))</f>
        <v>6.8000000000000007</v>
      </c>
      <c r="T197" s="96">
        <f t="shared" ref="T197:T205" si="22">IFERROR(IF(J197="",R197/(1-VLOOKUP(A197,$AA$7:$AC$21,2,FALSE)),R197/(1-J197)),"n/a")</f>
        <v>8.2926829268292686</v>
      </c>
      <c r="U197" s="114">
        <f t="shared" ref="U197:U205" si="23">IFERROR(IF(AND(A197="Straight Grain",E197="Bulka"),ROUNDUP(IF(K197="",R197/(1-VLOOKUP(A197,$AA$7:$AC$21,3,FALSE)),R197/(1-K197)),2),ROUNDUP(IF(K197="",R197/(1-VLOOKUP(A197,$AA$7:$AC$21,3,FALSE)),R197/(1-K197)),1)),"n/a")</f>
        <v>9.6</v>
      </c>
      <c r="V197" s="288"/>
      <c r="W197" s="1"/>
      <c r="AF197" s="1"/>
    </row>
    <row r="198" spans="1:32" s="59" customFormat="1" ht="13.8" x14ac:dyDescent="0.25">
      <c r="A198" s="226" t="s">
        <v>21</v>
      </c>
      <c r="B198" s="13">
        <v>380863</v>
      </c>
      <c r="C198" s="50" t="s">
        <v>136</v>
      </c>
      <c r="D198" s="50" t="s">
        <v>137</v>
      </c>
      <c r="E198" s="13" t="s">
        <v>442</v>
      </c>
      <c r="F198" s="13" t="s">
        <v>436</v>
      </c>
      <c r="G198" s="13">
        <v>1</v>
      </c>
      <c r="H198" s="13">
        <v>30</v>
      </c>
      <c r="I198" s="49" t="s">
        <v>21</v>
      </c>
      <c r="J198" s="13"/>
      <c r="K198" s="115"/>
      <c r="L198" s="73">
        <f>VLOOKUP(ProductCost[[#This Row],[Mix / Product Name]],'M - All'!$B$100:$D$330,3,FALSE)</f>
        <v>19</v>
      </c>
      <c r="M198" s="19">
        <f>IFERROR(IF(OR(A198="PHF Horse Mixes",A198="Peckish",A198="Hay &amp; Straw",ProductCost[[#This Row],[Bagging Process]]=""),0,$Y$7),0)</f>
        <v>0</v>
      </c>
      <c r="N198" s="19">
        <f>IFERROR(VLOOKUP(ProductCost[[#This Row],[Bagging Process]],$W$11:$Y$20,3,FALSE),0)</f>
        <v>0.6</v>
      </c>
      <c r="O198" s="23">
        <f t="shared" si="18"/>
        <v>0</v>
      </c>
      <c r="P198" s="23">
        <f t="shared" si="19"/>
        <v>0</v>
      </c>
      <c r="Q198" s="23">
        <f t="shared" si="20"/>
        <v>3.5</v>
      </c>
      <c r="R198" s="227">
        <f t="shared" si="21"/>
        <v>23.1</v>
      </c>
      <c r="T198" s="96">
        <f t="shared" si="22"/>
        <v>28.170731707317074</v>
      </c>
      <c r="U198" s="114">
        <f t="shared" si="23"/>
        <v>32.4</v>
      </c>
      <c r="V198" s="288"/>
      <c r="W198" s="1"/>
      <c r="AF198" s="1"/>
    </row>
    <row r="199" spans="1:32" s="59" customFormat="1" ht="13.8" x14ac:dyDescent="0.25">
      <c r="A199" s="226" t="s">
        <v>21</v>
      </c>
      <c r="B199" s="13">
        <v>380864</v>
      </c>
      <c r="C199" s="50" t="s">
        <v>139</v>
      </c>
      <c r="D199" s="50" t="s">
        <v>140</v>
      </c>
      <c r="E199" s="13" t="s">
        <v>442</v>
      </c>
      <c r="F199" s="13" t="s">
        <v>436</v>
      </c>
      <c r="G199" s="13">
        <v>1</v>
      </c>
      <c r="H199" s="13">
        <v>30</v>
      </c>
      <c r="I199" s="49" t="s">
        <v>21</v>
      </c>
      <c r="J199" s="13"/>
      <c r="K199" s="115">
        <v>0.22800000000000001</v>
      </c>
      <c r="L199" s="73">
        <f>VLOOKUP(ProductCost[[#This Row],[Mix / Product Name]],'M - All'!$B$100:$D$330,3,FALSE)</f>
        <v>19</v>
      </c>
      <c r="M199" s="19">
        <f>IFERROR(IF(OR(A199="PHF Horse Mixes",A199="Peckish",A199="Hay &amp; Straw",ProductCost[[#This Row],[Bagging Process]]=""),0,$Y$7),0)</f>
        <v>0</v>
      </c>
      <c r="N199" s="19">
        <f>IFERROR(VLOOKUP(ProductCost[[#This Row],[Bagging Process]],$W$11:$Y$20,3,FALSE),0)</f>
        <v>0.6</v>
      </c>
      <c r="O199" s="23">
        <f t="shared" si="18"/>
        <v>0</v>
      </c>
      <c r="P199" s="23">
        <f t="shared" si="19"/>
        <v>0</v>
      </c>
      <c r="Q199" s="23">
        <f t="shared" si="20"/>
        <v>3.5</v>
      </c>
      <c r="R199" s="227">
        <f t="shared" si="21"/>
        <v>23.1</v>
      </c>
      <c r="T199" s="96">
        <f t="shared" si="22"/>
        <v>28.170731707317074</v>
      </c>
      <c r="U199" s="114">
        <f t="shared" si="23"/>
        <v>30</v>
      </c>
      <c r="V199" s="288"/>
      <c r="W199" s="1"/>
      <c r="AF199" s="1"/>
    </row>
    <row r="200" spans="1:32" s="59" customFormat="1" ht="13.8" x14ac:dyDescent="0.25">
      <c r="A200" s="226" t="s">
        <v>21</v>
      </c>
      <c r="B200" s="13">
        <v>458163</v>
      </c>
      <c r="C200" s="50" t="s">
        <v>73</v>
      </c>
      <c r="D200" s="50" t="s">
        <v>74</v>
      </c>
      <c r="E200" s="13" t="s">
        <v>442</v>
      </c>
      <c r="F200" s="13" t="s">
        <v>436</v>
      </c>
      <c r="G200" s="13">
        <v>1</v>
      </c>
      <c r="H200" s="13">
        <v>30</v>
      </c>
      <c r="I200" s="49" t="s">
        <v>21</v>
      </c>
      <c r="J200" s="13"/>
      <c r="K200" s="115"/>
      <c r="L200" s="73">
        <f>VLOOKUP(ProductCost[[#This Row],[Mix / Product Name]],'M - All'!$B$100:$D$330,3,FALSE)</f>
        <v>9</v>
      </c>
      <c r="M200" s="19">
        <f>IFERROR(IF(OR(A200="PHF Horse Mixes",A200="Peckish",A200="Hay &amp; Straw",ProductCost[[#This Row],[Bagging Process]]=""),0,$Y$7),0)</f>
        <v>0</v>
      </c>
      <c r="N200" s="19">
        <f>IFERROR(VLOOKUP(ProductCost[[#This Row],[Bagging Process]],$W$11:$Y$20,3,FALSE),0)</f>
        <v>0.6</v>
      </c>
      <c r="O200" s="23">
        <f t="shared" si="18"/>
        <v>0</v>
      </c>
      <c r="P200" s="23">
        <f t="shared" si="19"/>
        <v>0</v>
      </c>
      <c r="Q200" s="23">
        <f t="shared" si="20"/>
        <v>3.5</v>
      </c>
      <c r="R200" s="227">
        <f t="shared" si="21"/>
        <v>13.1</v>
      </c>
      <c r="T200" s="96">
        <f t="shared" si="22"/>
        <v>15.97560975609756</v>
      </c>
      <c r="U200" s="114">
        <f t="shared" si="23"/>
        <v>18.400000000000002</v>
      </c>
      <c r="V200" s="288"/>
      <c r="W200" s="1"/>
      <c r="AF200" s="1"/>
    </row>
    <row r="201" spans="1:32" s="59" customFormat="1" ht="13.8" x14ac:dyDescent="0.25">
      <c r="A201" s="226" t="s">
        <v>50</v>
      </c>
      <c r="B201" s="13">
        <v>383815</v>
      </c>
      <c r="C201" s="50" t="s">
        <v>49</v>
      </c>
      <c r="D201" s="50" t="s">
        <v>49</v>
      </c>
      <c r="E201" s="13" t="s">
        <v>428</v>
      </c>
      <c r="F201" s="13" t="s">
        <v>436</v>
      </c>
      <c r="G201" s="13">
        <v>20</v>
      </c>
      <c r="H201" s="13">
        <v>16</v>
      </c>
      <c r="I201" s="49"/>
      <c r="J201" s="13"/>
      <c r="K201" s="115"/>
      <c r="L201" s="73">
        <f>VLOOKUP(ProductCost[[#This Row],[Mix / Product Name]],'M - All'!$B$100:$D$330,3,FALSE)</f>
        <v>0.8</v>
      </c>
      <c r="M201" s="19">
        <f>IFERROR(IF(OR(A201="PHF Horse Mixes",A201="Peckish",A201="Hay &amp; Straw",ProductCost[[#This Row],[Bagging Process]]=""),0,$Y$7),0)</f>
        <v>0</v>
      </c>
      <c r="N201" s="19">
        <f>IFERROR(VLOOKUP(ProductCost[[#This Row],[Bagging Process]],$W$11:$Y$20,3,FALSE),0)</f>
        <v>0</v>
      </c>
      <c r="O201" s="23">
        <f t="shared" si="18"/>
        <v>0</v>
      </c>
      <c r="P201" s="23">
        <f t="shared" si="19"/>
        <v>0</v>
      </c>
      <c r="Q201" s="23">
        <f t="shared" si="20"/>
        <v>4.375</v>
      </c>
      <c r="R201" s="227">
        <f t="shared" si="21"/>
        <v>20.375</v>
      </c>
      <c r="T201" s="96" t="str">
        <f t="shared" si="22"/>
        <v>n/a</v>
      </c>
      <c r="U201" s="114">
        <f t="shared" si="23"/>
        <v>23.6</v>
      </c>
      <c r="V201" s="288"/>
      <c r="W201" s="1"/>
      <c r="AF201" s="1"/>
    </row>
    <row r="202" spans="1:32" s="59" customFormat="1" ht="13.8" x14ac:dyDescent="0.25">
      <c r="A202" s="226" t="s">
        <v>50</v>
      </c>
      <c r="B202" s="13">
        <v>383816</v>
      </c>
      <c r="C202" s="50" t="s">
        <v>197</v>
      </c>
      <c r="D202" s="50" t="s">
        <v>197</v>
      </c>
      <c r="E202" s="13" t="s">
        <v>428</v>
      </c>
      <c r="F202" s="13" t="s">
        <v>436</v>
      </c>
      <c r="G202" s="13">
        <v>20</v>
      </c>
      <c r="H202" s="13">
        <v>16</v>
      </c>
      <c r="I202" s="49"/>
      <c r="J202" s="13"/>
      <c r="K202" s="115"/>
      <c r="L202" s="73">
        <f>VLOOKUP(ProductCost[[#This Row],[Mix / Product Name]],'M - All'!$B$100:$D$330,3,FALSE)</f>
        <v>1.075</v>
      </c>
      <c r="M202" s="19">
        <f>IFERROR(IF(OR(A202="PHF Horse Mixes",A202="Peckish",A202="Hay &amp; Straw",ProductCost[[#This Row],[Bagging Process]]=""),0,$Y$7),0)</f>
        <v>0</v>
      </c>
      <c r="N202" s="19">
        <f>IFERROR(VLOOKUP(ProductCost[[#This Row],[Bagging Process]],$W$11:$Y$20,3,FALSE),0)</f>
        <v>0</v>
      </c>
      <c r="O202" s="23">
        <f t="shared" si="18"/>
        <v>0</v>
      </c>
      <c r="P202" s="23">
        <f t="shared" si="19"/>
        <v>0</v>
      </c>
      <c r="Q202" s="23">
        <f t="shared" si="20"/>
        <v>4.375</v>
      </c>
      <c r="R202" s="227">
        <f t="shared" si="21"/>
        <v>25.875</v>
      </c>
      <c r="T202" s="96" t="str">
        <f t="shared" si="22"/>
        <v>n/a</v>
      </c>
      <c r="U202" s="114">
        <f t="shared" si="23"/>
        <v>30</v>
      </c>
      <c r="V202" s="288"/>
      <c r="W202" s="1"/>
      <c r="AF202" s="1"/>
    </row>
    <row r="203" spans="1:32" s="59" customFormat="1" ht="13.8" x14ac:dyDescent="0.25">
      <c r="A203" s="226" t="s">
        <v>100</v>
      </c>
      <c r="B203" s="13">
        <v>543451</v>
      </c>
      <c r="C203" s="50" t="s">
        <v>98</v>
      </c>
      <c r="D203" s="50" t="s">
        <v>98</v>
      </c>
      <c r="E203" s="13" t="s">
        <v>428</v>
      </c>
      <c r="F203" s="13" t="s">
        <v>436</v>
      </c>
      <c r="G203" s="13">
        <v>20</v>
      </c>
      <c r="H203" s="13">
        <v>50</v>
      </c>
      <c r="I203" s="49"/>
      <c r="J203" s="13"/>
      <c r="K203" s="115"/>
      <c r="L203" s="73">
        <f>VLOOKUP(ProductCost[[#This Row],[Mix / Product Name]],'M - All'!$B$100:$D$330,3,FALSE)</f>
        <v>0.9</v>
      </c>
      <c r="M203" s="19">
        <f>IFERROR(IF(OR(A203="PHF Horse Mixes",A203="Peckish",A203="Hay &amp; Straw",ProductCost[[#This Row],[Bagging Process]]=""),0,$Y$7),0)</f>
        <v>0</v>
      </c>
      <c r="N203" s="19">
        <f>IFERROR(VLOOKUP(ProductCost[[#This Row],[Bagging Process]],$W$11:$Y$20,3,FALSE),0)</f>
        <v>0</v>
      </c>
      <c r="O203" s="23">
        <f t="shared" si="18"/>
        <v>0</v>
      </c>
      <c r="P203" s="23">
        <f t="shared" si="19"/>
        <v>0</v>
      </c>
      <c r="Q203" s="23">
        <f t="shared" si="20"/>
        <v>1.4</v>
      </c>
      <c r="R203" s="227">
        <f t="shared" si="21"/>
        <v>19.399999999999999</v>
      </c>
      <c r="T203" s="96" t="str">
        <f t="shared" si="22"/>
        <v>n/a</v>
      </c>
      <c r="U203" s="114">
        <f t="shared" si="23"/>
        <v>25.400000000000002</v>
      </c>
      <c r="V203" s="288"/>
      <c r="W203" s="1"/>
      <c r="AF203" s="1"/>
    </row>
    <row r="204" spans="1:32" s="59" customFormat="1" ht="13.8" x14ac:dyDescent="0.25">
      <c r="A204" s="226" t="s">
        <v>100</v>
      </c>
      <c r="B204" s="13">
        <v>543452</v>
      </c>
      <c r="C204" s="50" t="s">
        <v>298</v>
      </c>
      <c r="D204" s="50" t="s">
        <v>298</v>
      </c>
      <c r="E204" s="13" t="s">
        <v>428</v>
      </c>
      <c r="F204" s="13" t="s">
        <v>436</v>
      </c>
      <c r="G204" s="13">
        <v>20</v>
      </c>
      <c r="H204" s="13">
        <v>50</v>
      </c>
      <c r="I204" s="49"/>
      <c r="J204" s="13"/>
      <c r="K204" s="115"/>
      <c r="L204" s="73">
        <f>VLOOKUP(ProductCost[[#This Row],[Mix / Product Name]],'M - All'!$B$100:$D$330,3,FALSE)</f>
        <v>0.88</v>
      </c>
      <c r="M204" s="19">
        <f>IFERROR(IF(OR(A204="PHF Horse Mixes",A204="Peckish",A204="Hay &amp; Straw",ProductCost[[#This Row],[Bagging Process]]=""),0,$Y$7),0)</f>
        <v>0</v>
      </c>
      <c r="N204" s="19">
        <f>IFERROR(VLOOKUP(ProductCost[[#This Row],[Bagging Process]],$W$11:$Y$20,3,FALSE),0)</f>
        <v>0</v>
      </c>
      <c r="O204" s="23">
        <f t="shared" si="18"/>
        <v>0</v>
      </c>
      <c r="P204" s="23">
        <f t="shared" si="19"/>
        <v>0</v>
      </c>
      <c r="Q204" s="23">
        <f t="shared" si="20"/>
        <v>1.4</v>
      </c>
      <c r="R204" s="227">
        <f t="shared" si="21"/>
        <v>19</v>
      </c>
      <c r="T204" s="96" t="str">
        <f t="shared" si="22"/>
        <v>n/a</v>
      </c>
      <c r="U204" s="114">
        <f t="shared" si="23"/>
        <v>24.900000000000002</v>
      </c>
      <c r="V204" s="288"/>
      <c r="W204" s="1"/>
      <c r="AF204" s="1"/>
    </row>
    <row r="205" spans="1:32" s="59" customFormat="1" ht="13.8" x14ac:dyDescent="0.25">
      <c r="A205" s="232" t="s">
        <v>65</v>
      </c>
      <c r="B205" s="31">
        <v>408408</v>
      </c>
      <c r="C205" s="233" t="s">
        <v>64</v>
      </c>
      <c r="D205" s="233" t="s">
        <v>64</v>
      </c>
      <c r="E205" s="31" t="s">
        <v>442</v>
      </c>
      <c r="F205" s="31" t="s">
        <v>436</v>
      </c>
      <c r="G205" s="31">
        <v>1</v>
      </c>
      <c r="H205" s="31">
        <v>6</v>
      </c>
      <c r="I205" s="234"/>
      <c r="J205" s="31"/>
      <c r="K205" s="235"/>
      <c r="L205" s="236">
        <f>VLOOKUP(ProductCost[[#This Row],[Mix / Product Name]],'M - All'!$B$100:$D$330,3,FALSE)</f>
        <v>51</v>
      </c>
      <c r="M205" s="107">
        <f>IFERROR(IF(OR(A205="PHF Horse Mixes",A205="Peckish",A205="Hay &amp; Straw",ProductCost[[#This Row],[Bagging Process]]=""),0,$Y$7),0)</f>
        <v>0</v>
      </c>
      <c r="N205" s="107">
        <f>IFERROR(VLOOKUP(ProductCost[[#This Row],[Bagging Process]],$W$11:$Y$20,3,FALSE),0)</f>
        <v>0</v>
      </c>
      <c r="O205" s="237">
        <f t="shared" si="18"/>
        <v>0</v>
      </c>
      <c r="P205" s="237">
        <f t="shared" si="19"/>
        <v>0</v>
      </c>
      <c r="Q205" s="237">
        <f t="shared" si="20"/>
        <v>11.666666666666666</v>
      </c>
      <c r="R205" s="238">
        <f t="shared" si="21"/>
        <v>62.666666666666664</v>
      </c>
      <c r="T205" s="96">
        <f t="shared" si="22"/>
        <v>76.422764227642261</v>
      </c>
      <c r="U205" s="114">
        <f t="shared" si="23"/>
        <v>82</v>
      </c>
      <c r="V205" s="288"/>
      <c r="W205" s="1"/>
      <c r="AF205" s="1"/>
    </row>
    <row r="206" spans="1:32" s="127" customFormat="1" ht="14.4" x14ac:dyDescent="0.3"/>
    <row r="207" spans="1:32" s="127" customFormat="1" ht="14.4" x14ac:dyDescent="0.3">
      <c r="A207" s="127" t="s">
        <v>543</v>
      </c>
    </row>
    <row r="208" spans="1:32" s="59" customFormat="1" ht="13.8" x14ac:dyDescent="0.25">
      <c r="A208" s="45" t="s">
        <v>29</v>
      </c>
      <c r="B208" s="45">
        <v>403984</v>
      </c>
      <c r="C208" s="50" t="s">
        <v>201</v>
      </c>
      <c r="D208" s="50"/>
      <c r="E208" s="45" t="s">
        <v>428</v>
      </c>
      <c r="F208" s="45"/>
      <c r="G208" s="45">
        <v>25</v>
      </c>
      <c r="H208" s="45">
        <v>40</v>
      </c>
      <c r="I208" s="57" t="s">
        <v>544</v>
      </c>
      <c r="J208" s="45"/>
      <c r="K208" s="123"/>
      <c r="L208" s="124"/>
      <c r="M208" s="19">
        <f t="shared" ref="M208:M213" si="24">IFERROR(IF(OR(A208="PHF Horse Mixes",A208="Peckish",A208="Hay &amp; Straw"),VLOOKUP(I208,$W$11:$Y$20,3,FALSE),$Y$7+VLOOKUP(I208,$W$11:$Y$20,3,FALSE)),0)</f>
        <v>0</v>
      </c>
      <c r="N208" s="19"/>
      <c r="O208" s="23">
        <f t="shared" ref="O208:O213" si="25">IF(ISNUMBER(SEARCH("Cracked",C208)),$Y$8,0)</f>
        <v>0</v>
      </c>
      <c r="P208" s="23">
        <f t="shared" ref="P208:P213" si="26">IF(A208="Peckish",$X$28,IF(E208="1.5 kg",$X$27,IF(F208= "No bag",0,IF(E208="Standard",$X$24,$X$25/G208)+IF(F208="Yes",-$X$26,0))))</f>
        <v>0.6925</v>
      </c>
      <c r="Q208" s="135">
        <v>0</v>
      </c>
      <c r="R208" s="75">
        <f t="shared" ref="R208:R213" si="27">IF(E208="Standard",SUM(L208:O208)*G208+SUM(P208:Q208),IF(OR(E208="Bulka",E208="Per Unit"),SUM(L208:Q208),(SUM(L208:O208)*G208+SUM(P208:Q208))*8))</f>
        <v>0.6925</v>
      </c>
      <c r="T208" s="126"/>
      <c r="U208" s="134">
        <v>4</v>
      </c>
    </row>
    <row r="209" spans="1:25" s="59" customFormat="1" ht="13.8" x14ac:dyDescent="0.25">
      <c r="A209" s="45" t="s">
        <v>29</v>
      </c>
      <c r="B209" s="45">
        <v>403985</v>
      </c>
      <c r="C209" s="50" t="s">
        <v>203</v>
      </c>
      <c r="D209" s="50"/>
      <c r="E209" s="45" t="s">
        <v>435</v>
      </c>
      <c r="F209" s="45"/>
      <c r="G209" s="45">
        <v>1200</v>
      </c>
      <c r="H209" s="45">
        <v>1</v>
      </c>
      <c r="I209" s="57" t="s">
        <v>544</v>
      </c>
      <c r="J209" s="45"/>
      <c r="K209" s="123"/>
      <c r="L209" s="124"/>
      <c r="M209" s="19">
        <f t="shared" si="24"/>
        <v>0</v>
      </c>
      <c r="N209" s="19"/>
      <c r="O209" s="23">
        <f t="shared" si="25"/>
        <v>0</v>
      </c>
      <c r="P209" s="23">
        <f t="shared" si="26"/>
        <v>1.4333333333333333E-2</v>
      </c>
      <c r="Q209" s="135">
        <v>0</v>
      </c>
      <c r="R209" s="75">
        <f t="shared" si="27"/>
        <v>1.4333333333333333E-2</v>
      </c>
      <c r="T209" s="126"/>
      <c r="U209" s="134">
        <v>0.13</v>
      </c>
      <c r="W209" s="136"/>
    </row>
    <row r="210" spans="1:25" s="59" customFormat="1" ht="13.8" x14ac:dyDescent="0.25">
      <c r="A210" s="45" t="s">
        <v>29</v>
      </c>
      <c r="B210" s="45">
        <v>441361</v>
      </c>
      <c r="C210" s="50" t="s">
        <v>210</v>
      </c>
      <c r="D210" s="50"/>
      <c r="E210" s="45" t="s">
        <v>428</v>
      </c>
      <c r="F210" s="45"/>
      <c r="G210" s="45">
        <v>25</v>
      </c>
      <c r="H210" s="45">
        <v>40</v>
      </c>
      <c r="I210" s="57" t="s">
        <v>544</v>
      </c>
      <c r="J210" s="45"/>
      <c r="K210" s="123"/>
      <c r="L210" s="124"/>
      <c r="M210" s="19">
        <f t="shared" si="24"/>
        <v>0</v>
      </c>
      <c r="N210" s="19"/>
      <c r="O210" s="23">
        <f t="shared" si="25"/>
        <v>0</v>
      </c>
      <c r="P210" s="23">
        <f t="shared" si="26"/>
        <v>0.6925</v>
      </c>
      <c r="Q210" s="135">
        <v>0</v>
      </c>
      <c r="R210" s="75">
        <f t="shared" si="27"/>
        <v>0.6925</v>
      </c>
      <c r="T210" s="126"/>
      <c r="U210" s="134">
        <v>4</v>
      </c>
    </row>
    <row r="211" spans="1:25" s="59" customFormat="1" ht="13.8" x14ac:dyDescent="0.25">
      <c r="A211" s="45" t="s">
        <v>29</v>
      </c>
      <c r="B211" s="45">
        <v>455322</v>
      </c>
      <c r="C211" s="50" t="s">
        <v>212</v>
      </c>
      <c r="D211" s="50"/>
      <c r="E211" s="45" t="s">
        <v>428</v>
      </c>
      <c r="F211" s="45"/>
      <c r="G211" s="45">
        <v>25</v>
      </c>
      <c r="H211" s="45">
        <v>40</v>
      </c>
      <c r="I211" s="57" t="s">
        <v>544</v>
      </c>
      <c r="J211" s="45"/>
      <c r="K211" s="123"/>
      <c r="L211" s="124"/>
      <c r="M211" s="19">
        <f t="shared" si="24"/>
        <v>0</v>
      </c>
      <c r="N211" s="19"/>
      <c r="O211" s="23">
        <f t="shared" si="25"/>
        <v>0</v>
      </c>
      <c r="P211" s="23">
        <f t="shared" si="26"/>
        <v>0.6925</v>
      </c>
      <c r="Q211" s="135">
        <v>0</v>
      </c>
      <c r="R211" s="75">
        <f t="shared" si="27"/>
        <v>0.6925</v>
      </c>
      <c r="T211" s="126"/>
      <c r="U211" s="134">
        <v>4</v>
      </c>
    </row>
    <row r="212" spans="1:25" s="59" customFormat="1" ht="13.8" x14ac:dyDescent="0.25">
      <c r="A212" s="45" t="s">
        <v>29</v>
      </c>
      <c r="B212" s="45">
        <v>496354</v>
      </c>
      <c r="C212" s="50" t="s">
        <v>228</v>
      </c>
      <c r="D212" s="50"/>
      <c r="E212" s="45" t="s">
        <v>435</v>
      </c>
      <c r="F212" s="45"/>
      <c r="G212" s="45">
        <v>1200</v>
      </c>
      <c r="H212" s="45">
        <v>1</v>
      </c>
      <c r="I212" s="57" t="s">
        <v>544</v>
      </c>
      <c r="J212" s="45"/>
      <c r="K212" s="123"/>
      <c r="L212" s="124"/>
      <c r="M212" s="19">
        <f t="shared" si="24"/>
        <v>0</v>
      </c>
      <c r="N212" s="19"/>
      <c r="O212" s="23">
        <f t="shared" si="25"/>
        <v>0</v>
      </c>
      <c r="P212" s="23">
        <f t="shared" si="26"/>
        <v>1.4333333333333333E-2</v>
      </c>
      <c r="Q212" s="135">
        <v>0</v>
      </c>
      <c r="R212" s="75">
        <f t="shared" si="27"/>
        <v>1.4333333333333333E-2</v>
      </c>
      <c r="T212" s="126"/>
      <c r="U212" s="134">
        <v>0.13</v>
      </c>
    </row>
    <row r="213" spans="1:25" s="59" customFormat="1" ht="13.8" x14ac:dyDescent="0.25">
      <c r="A213" s="45" t="s">
        <v>29</v>
      </c>
      <c r="B213" s="45">
        <v>503017</v>
      </c>
      <c r="C213" s="50" t="s">
        <v>249</v>
      </c>
      <c r="D213" s="50"/>
      <c r="E213" s="45" t="s">
        <v>435</v>
      </c>
      <c r="F213" s="45"/>
      <c r="G213" s="45">
        <v>1200</v>
      </c>
      <c r="H213" s="45">
        <v>1</v>
      </c>
      <c r="I213" s="57" t="s">
        <v>544</v>
      </c>
      <c r="J213" s="45"/>
      <c r="K213" s="123"/>
      <c r="L213" s="124"/>
      <c r="M213" s="19">
        <f t="shared" si="24"/>
        <v>0</v>
      </c>
      <c r="N213" s="19"/>
      <c r="O213" s="23">
        <f t="shared" si="25"/>
        <v>0</v>
      </c>
      <c r="P213" s="23">
        <f t="shared" si="26"/>
        <v>1.4333333333333333E-2</v>
      </c>
      <c r="Q213" s="135">
        <v>0</v>
      </c>
      <c r="R213" s="75">
        <f t="shared" si="27"/>
        <v>1.4333333333333333E-2</v>
      </c>
      <c r="T213" s="126"/>
      <c r="U213" s="134">
        <v>0.13</v>
      </c>
    </row>
    <row r="214" spans="1:25" s="59" customFormat="1" ht="13.8" x14ac:dyDescent="0.25">
      <c r="A214" s="45" t="s">
        <v>65</v>
      </c>
      <c r="B214" s="45">
        <v>556572</v>
      </c>
      <c r="C214" s="50" t="s">
        <v>318</v>
      </c>
      <c r="D214" s="50"/>
      <c r="E214" s="45"/>
      <c r="F214" s="45"/>
      <c r="G214" s="45"/>
      <c r="H214" s="45"/>
      <c r="I214" s="57"/>
      <c r="J214" s="45"/>
      <c r="K214" s="123"/>
      <c r="L214" s="124"/>
      <c r="M214" s="53"/>
      <c r="N214" s="53"/>
      <c r="O214" s="125"/>
      <c r="P214" s="125"/>
      <c r="Q214" s="125"/>
      <c r="R214" s="75"/>
      <c r="T214" s="126"/>
      <c r="U214" s="134">
        <v>50</v>
      </c>
    </row>
    <row r="215" spans="1:25" s="59" customFormat="1" ht="13.8" x14ac:dyDescent="0.25">
      <c r="A215" s="45" t="s">
        <v>65</v>
      </c>
      <c r="B215" s="45">
        <v>575716</v>
      </c>
      <c r="C215" s="50" t="s">
        <v>398</v>
      </c>
      <c r="D215" s="50"/>
      <c r="E215" s="45" t="s">
        <v>428</v>
      </c>
      <c r="F215" s="45" t="s">
        <v>429</v>
      </c>
      <c r="G215" s="45">
        <v>25</v>
      </c>
      <c r="H215" s="45">
        <v>40</v>
      </c>
      <c r="I215" s="57" t="s">
        <v>544</v>
      </c>
      <c r="J215" s="45"/>
      <c r="K215" s="123"/>
      <c r="L215" s="124"/>
      <c r="M215" s="19">
        <f>IFERROR(IF(OR(A215="PHF Horse Mixes",A215="Peckish",A215="Hay &amp; Straw"),VLOOKUP(I215,$W$11:$Y$20,3,FALSE),$Y$7+VLOOKUP(I215,$W$11:$Y$20,3,FALSE)),0)</f>
        <v>0</v>
      </c>
      <c r="N215" s="19"/>
      <c r="O215" s="23">
        <f>IF(ISNUMBER(SEARCH("Cracked",C215)),$Y$8,0)</f>
        <v>0</v>
      </c>
      <c r="P215" s="23">
        <f>IF(A215="Peckish",$X$28,IF(E215="1.5 kg",$X$27,IF(F215= "No bag",0,IF(E215="Standard",$X$24,$X$25/G215)+IF(F215="Yes",-$X$26,0))))</f>
        <v>6.25E-2</v>
      </c>
      <c r="Q215" s="135">
        <v>0</v>
      </c>
      <c r="R215" s="75">
        <f>IF(E215="Standard",SUM(L215:O215)*G215+SUM(P215:Q215),IF(OR(E215="Bulka",E215="Per Unit"),SUM(L215:Q215),(SUM(L215:O215)*G215+SUM(P215:Q215))*8))</f>
        <v>6.25E-2</v>
      </c>
      <c r="T215" s="126"/>
      <c r="U215" s="134">
        <v>2.0499999999999998</v>
      </c>
      <c r="W215" s="137"/>
    </row>
    <row r="216" spans="1:25" s="59" customFormat="1" ht="13.8" x14ac:dyDescent="0.25">
      <c r="A216" s="45" t="s">
        <v>65</v>
      </c>
      <c r="B216" s="45">
        <v>575717</v>
      </c>
      <c r="C216" s="50" t="s">
        <v>400</v>
      </c>
      <c r="D216" s="50"/>
      <c r="E216" s="45" t="s">
        <v>435</v>
      </c>
      <c r="F216" s="45" t="s">
        <v>436</v>
      </c>
      <c r="G216" s="45">
        <v>1000</v>
      </c>
      <c r="H216" s="45">
        <v>1</v>
      </c>
      <c r="I216" s="57" t="s">
        <v>544</v>
      </c>
      <c r="J216" s="45"/>
      <c r="K216" s="123"/>
      <c r="L216" s="124"/>
      <c r="M216" s="19">
        <f>IFERROR(IF(OR(A216="PHF Horse Mixes",A216="Peckish",A216="Hay &amp; Straw"),VLOOKUP(I216,$W$11:$Y$20,3,FALSE),$Y$7+VLOOKUP(I216,$W$11:$Y$20,3,FALSE)),0)</f>
        <v>0</v>
      </c>
      <c r="N216" s="19"/>
      <c r="O216" s="23">
        <f>IF(ISNUMBER(SEARCH("Cracked",C216)),$Y$8,0)</f>
        <v>0</v>
      </c>
      <c r="P216" s="23">
        <f>IF(A216="Peckish",$X$28,IF(E216="1.5 kg",$X$27,IF(F216= "No bag",0,IF(E216="Standard",$X$24,$X$25/G216)+IF(F216="Yes",-$X$26,0))))</f>
        <v>0</v>
      </c>
      <c r="Q216" s="135">
        <v>0</v>
      </c>
      <c r="R216" s="75">
        <f>IF(E216="Standard",SUM(L216:O216)*G216+SUM(P216:Q216),IF(OR(E216="Bulka",E216="Per Unit"),SUM(L216:Q216),(SUM(L216:O216)*G216+SUM(P216:Q216))*8))</f>
        <v>0</v>
      </c>
      <c r="T216" s="126"/>
      <c r="U216" s="134">
        <v>82</v>
      </c>
      <c r="V216" s="137"/>
      <c r="W216" s="136"/>
      <c r="X216" s="136"/>
      <c r="Y216" s="137"/>
    </row>
    <row r="217" spans="1:25" s="59" customFormat="1" ht="13.8" x14ac:dyDescent="0.25">
      <c r="A217" s="45" t="s">
        <v>65</v>
      </c>
      <c r="B217" s="45">
        <v>579456</v>
      </c>
      <c r="C217" s="50" t="s">
        <v>545</v>
      </c>
      <c r="D217" s="50"/>
      <c r="E217" s="45" t="s">
        <v>428</v>
      </c>
      <c r="F217" s="45" t="s">
        <v>429</v>
      </c>
      <c r="G217" s="45">
        <v>20</v>
      </c>
      <c r="H217" s="45">
        <v>48</v>
      </c>
      <c r="I217" s="57" t="s">
        <v>544</v>
      </c>
      <c r="J217" s="45"/>
      <c r="K217" s="123"/>
      <c r="L217" s="124"/>
      <c r="M217" s="19">
        <f>IFERROR(IF(OR(A217="PHF Horse Mixes",A217="Peckish",A217="Hay &amp; Straw"),VLOOKUP(I217,$W$11:$Y$20,3,FALSE),$Y$7+VLOOKUP(I217,$W$11:$Y$20,3,FALSE)),0)</f>
        <v>0</v>
      </c>
      <c r="N217" s="19"/>
      <c r="O217" s="23">
        <f>IF(ISNUMBER(SEARCH("Cracked",C217)),$Y$8,0)</f>
        <v>0</v>
      </c>
      <c r="P217" s="23">
        <f>IF(A217="Peckish",$X$28,IF(E217="1.5 kg",$X$27,IF(F217= "No bag",0,IF(E217="Standard",$X$24,$X$25/G217)+IF(F217="Yes",-$X$26,0))))</f>
        <v>6.25E-2</v>
      </c>
      <c r="Q217" s="135">
        <v>0</v>
      </c>
      <c r="R217" s="75">
        <f>IF(E217="Standard",SUM(L217:O217)*G217+SUM(P217:Q217),IF(OR(E217="Bulka",E217="Per Unit"),SUM(L217:Q217),(SUM(L217:O217)*G217+SUM(P217:Q217))*8))</f>
        <v>6.25E-2</v>
      </c>
      <c r="T217" s="126"/>
      <c r="U217" s="134">
        <v>1.64</v>
      </c>
      <c r="V217" s="137"/>
      <c r="W217" s="136"/>
      <c r="X217" s="136"/>
      <c r="Y217" s="137"/>
    </row>
    <row r="218" spans="1:25" s="59" customFormat="1" ht="13.8" x14ac:dyDescent="0.25">
      <c r="A218" s="45" t="s">
        <v>65</v>
      </c>
      <c r="B218" s="45">
        <v>579457</v>
      </c>
      <c r="C218" s="50" t="s">
        <v>546</v>
      </c>
      <c r="D218" s="50"/>
      <c r="E218" s="45" t="s">
        <v>428</v>
      </c>
      <c r="F218" s="45" t="s">
        <v>429</v>
      </c>
      <c r="G218" s="45">
        <v>18</v>
      </c>
      <c r="H218" s="45">
        <v>54</v>
      </c>
      <c r="I218" s="57" t="s">
        <v>544</v>
      </c>
      <c r="J218" s="45"/>
      <c r="K218" s="123"/>
      <c r="L218" s="124"/>
      <c r="M218" s="19">
        <f>IFERROR(IF(OR(A218="PHF Horse Mixes",A218="Peckish",A218="Hay &amp; Straw"),VLOOKUP(I218,$W$11:$Y$20,3,FALSE),$Y$7+VLOOKUP(I218,$W$11:$Y$20,3,FALSE)),0)</f>
        <v>0</v>
      </c>
      <c r="N218" s="19"/>
      <c r="O218" s="23">
        <f>IF(ISNUMBER(SEARCH("Cracked",C218)),$Y$8,0)</f>
        <v>0</v>
      </c>
      <c r="P218" s="23">
        <f>IF(A218="Peckish",$X$28,IF(E218="1.5 kg",$X$27,IF(F218= "No bag",0,IF(E218="Standard",$X$24,$X$25/G218)+IF(F218="Yes",-$X$26,0))))</f>
        <v>6.25E-2</v>
      </c>
      <c r="Q218" s="135">
        <v>0</v>
      </c>
      <c r="R218" s="75">
        <f>IF(E218="Standard",SUM(L218:O218)*G218+SUM(P218:Q218),IF(OR(E218="Bulka",E218="Per Unit"),SUM(L218:Q218),(SUM(L218:O218)*G218+SUM(P218:Q218))*8))</f>
        <v>6.25E-2</v>
      </c>
      <c r="T218" s="126"/>
      <c r="U218" s="134">
        <v>1.48</v>
      </c>
      <c r="V218" s="137"/>
      <c r="W218" s="136"/>
      <c r="X218" s="136"/>
      <c r="Y218" s="137"/>
    </row>
    <row r="219" spans="1:25" s="59" customFormat="1" ht="13.8" x14ac:dyDescent="0.25">
      <c r="A219" s="45" t="s">
        <v>65</v>
      </c>
      <c r="B219" s="45">
        <v>514492</v>
      </c>
      <c r="C219" s="50" t="s">
        <v>91</v>
      </c>
      <c r="D219" s="50"/>
      <c r="E219" s="45" t="s">
        <v>435</v>
      </c>
      <c r="F219" s="45"/>
      <c r="G219" s="45">
        <v>1000</v>
      </c>
      <c r="H219" s="45">
        <v>1</v>
      </c>
      <c r="I219" s="57" t="s">
        <v>544</v>
      </c>
      <c r="J219" s="45"/>
      <c r="K219" s="123"/>
      <c r="L219" s="124"/>
      <c r="M219" s="19">
        <f>IFERROR(IF(OR(A219="PHF Horse Mixes",A219="Peckish",A219="Hay &amp; Straw"),VLOOKUP(I219,$W$11:$Y$20,3,FALSE),$Y$7+VLOOKUP(I219,$W$11:$Y$20,3,FALSE)),0)</f>
        <v>0</v>
      </c>
      <c r="N219" s="19"/>
      <c r="O219" s="23">
        <f>IF(ISNUMBER(SEARCH("Cracked",C219)),$Y$8,0)</f>
        <v>0</v>
      </c>
      <c r="P219" s="23">
        <f>IF(A219="Peckish",$X$28,IF(E219="1.5 kg",$X$27,IF(F219= "No bag",0,IF(E219="Standard",$X$24,$X$25/G219)+IF(F219="Yes",-$X$26,0))))</f>
        <v>1.72E-2</v>
      </c>
      <c r="Q219" s="135">
        <v>0</v>
      </c>
      <c r="R219" s="75">
        <f>IF(E219="Standard",SUM(L219:O219)*G219+SUM(P219:Q219),IF(OR(E219="Bulka",E219="Per Unit"),SUM(L219:Q219),(SUM(L219:O219)*G219+SUM(P219:Q219))*8))</f>
        <v>1.72E-2</v>
      </c>
      <c r="T219" s="126"/>
      <c r="U219" s="134">
        <v>0</v>
      </c>
    </row>
    <row r="220" spans="1:25" s="72" customFormat="1" ht="14.4" x14ac:dyDescent="0.3"/>
    <row r="221" spans="1:25" s="127" customFormat="1" ht="14.4" x14ac:dyDescent="0.3">
      <c r="A221" s="127" t="s">
        <v>547</v>
      </c>
    </row>
    <row r="222" spans="1:25" ht="13.8" x14ac:dyDescent="0.25">
      <c r="A222" s="13" t="s">
        <v>65</v>
      </c>
      <c r="B222" s="13">
        <v>411797</v>
      </c>
      <c r="C222" s="50" t="s">
        <v>209</v>
      </c>
      <c r="D222" s="50"/>
      <c r="E222" s="13" t="s">
        <v>442</v>
      </c>
      <c r="F222" s="13"/>
      <c r="G222" s="13">
        <v>1</v>
      </c>
      <c r="H222" s="13"/>
      <c r="I222" s="49"/>
      <c r="J222" s="13"/>
      <c r="K222" s="115"/>
      <c r="L222" s="73"/>
      <c r="M222" s="19"/>
      <c r="N222" s="19"/>
      <c r="O222" s="23"/>
      <c r="P222" s="23">
        <f>X24</f>
        <v>0.6925</v>
      </c>
      <c r="Q222" s="23"/>
      <c r="R222" s="75"/>
      <c r="T222" s="97"/>
      <c r="U222" s="138">
        <v>0.69</v>
      </c>
    </row>
    <row r="223" spans="1:25" ht="13.8" x14ac:dyDescent="0.25">
      <c r="A223" s="13" t="s">
        <v>65</v>
      </c>
      <c r="B223" s="13">
        <v>557824</v>
      </c>
      <c r="C223" s="50" t="s">
        <v>113</v>
      </c>
      <c r="D223" s="50"/>
      <c r="E223" s="13"/>
      <c r="F223" s="13"/>
      <c r="G223" s="13">
        <v>1</v>
      </c>
      <c r="H223" s="13"/>
      <c r="I223" s="49"/>
      <c r="J223" s="13"/>
      <c r="K223" s="115"/>
      <c r="L223" s="73"/>
      <c r="M223" s="19"/>
      <c r="N223" s="19"/>
      <c r="O223" s="23"/>
      <c r="P223" s="23"/>
      <c r="Q223" s="23"/>
      <c r="R223" s="75"/>
      <c r="T223" s="97"/>
      <c r="U223" s="138">
        <v>50</v>
      </c>
    </row>
    <row r="224" spans="1:25" ht="18" customHeight="1" x14ac:dyDescent="0.25">
      <c r="C224" s="8" t="s">
        <v>548</v>
      </c>
    </row>
    <row r="225" spans="3:23" ht="18" customHeight="1" x14ac:dyDescent="0.25">
      <c r="C225" s="8" t="s">
        <v>549</v>
      </c>
    </row>
    <row r="229" spans="3:23" ht="18" customHeight="1" x14ac:dyDescent="0.25">
      <c r="R229" s="4"/>
    </row>
    <row r="230" spans="3:23" ht="18" customHeight="1" x14ac:dyDescent="0.25">
      <c r="R230" s="4"/>
    </row>
    <row r="231" spans="3:23" ht="18" customHeight="1" x14ac:dyDescent="0.25">
      <c r="T231" s="219"/>
    </row>
    <row r="232" spans="3:23" ht="18" customHeight="1" x14ac:dyDescent="0.25">
      <c r="T232" s="219"/>
      <c r="U232" s="10"/>
      <c r="W232" s="10"/>
    </row>
    <row r="233" spans="3:23" ht="18" customHeight="1" x14ac:dyDescent="0.25">
      <c r="R233" s="4"/>
      <c r="T233" s="219"/>
    </row>
    <row r="234" spans="3:23" ht="18" customHeight="1" x14ac:dyDescent="0.25">
      <c r="R234" s="269"/>
      <c r="W234" s="10"/>
    </row>
    <row r="235" spans="3:23" ht="18" customHeight="1" x14ac:dyDescent="0.25">
      <c r="R235" s="220"/>
      <c r="T235" s="219"/>
    </row>
    <row r="237" spans="3:23" ht="18" customHeight="1" x14ac:dyDescent="0.25">
      <c r="R237" s="221"/>
    </row>
  </sheetData>
  <autoFilter ref="A207:C219" xr:uid="{0B6B11F6-E6BB-46C1-8D1F-C57EC065FE3D}"/>
  <mergeCells count="9">
    <mergeCell ref="L1:R1"/>
    <mergeCell ref="L3:Q3"/>
    <mergeCell ref="W4:Y4"/>
    <mergeCell ref="W34:Y34"/>
    <mergeCell ref="AA4:AC4"/>
    <mergeCell ref="T1:U1"/>
    <mergeCell ref="AA23:AB23"/>
    <mergeCell ref="AA29:AB29"/>
    <mergeCell ref="W23:Y23"/>
  </mergeCells>
  <dataValidations count="5">
    <dataValidation type="list" allowBlank="1" showInputMessage="1" showErrorMessage="1" sqref="E5:E205 E207:E219 E221:E223" xr:uid="{46638FBE-DCF8-46CC-B418-816E87D804A2}">
      <formula1>$AJ$5:$AJ$8</formula1>
    </dataValidation>
    <dataValidation type="list" allowBlank="1" showInputMessage="1" showErrorMessage="1" sqref="D207:D219 D5:D205 D221:D223" xr:uid="{10CCDBDF-6450-4E92-8279-BDD38E919AAE}">
      <formula1>$AM$5:$AM$257</formula1>
    </dataValidation>
    <dataValidation type="list" allowBlank="1" showInputMessage="1" showErrorMessage="1" sqref="I221:I223 I207:I219 I5:I205" xr:uid="{B46DF734-4988-4CA1-A231-E11CB2E04E0C}">
      <formula1>$AN$5:$AN$15</formula1>
    </dataValidation>
    <dataValidation type="list" showInputMessage="1" showErrorMessage="1" sqref="F5:F205" xr:uid="{9C5433E2-5DCB-024A-B845-3740FDBC26D2}">
      <formula1>$AK$5:$AK$7</formula1>
    </dataValidation>
    <dataValidation type="list" showInputMessage="1" showErrorMessage="1" sqref="F206:F250" xr:uid="{F27B3E43-E817-4805-99E2-6982FD9FD725}">
      <formula1>$AK$5:$AK$6</formula1>
    </dataValidation>
  </dataValidations>
  <pageMargins left="0.7" right="0.7" top="0.75" bottom="0.75" header="0.3" footer="0.3"/>
  <pageSetup paperSize="9" orientation="portrait" horizontalDpi="360" verticalDpi="360" r:id="rId1"/>
  <ignoredErrors>
    <ignoredError sqref="F22 F8:F9 F14 F23:F195" listDataValidation="1"/>
  </ignoredErrors>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765B-D9A4-4B02-9BEA-E1E799E2F17E}">
  <sheetPr>
    <tabColor rgb="FFFFF2CC"/>
  </sheetPr>
  <dimension ref="A1:P14"/>
  <sheetViews>
    <sheetView topLeftCell="B1" zoomScale="130" zoomScaleNormal="130" workbookViewId="0">
      <selection activeCell="E3" sqref="E3"/>
    </sheetView>
  </sheetViews>
  <sheetFormatPr defaultColWidth="8.88671875" defaultRowHeight="14.4" x14ac:dyDescent="0.3"/>
  <cols>
    <col min="1" max="1" width="28.44140625" style="1" bestFit="1" customWidth="1"/>
    <col min="2" max="2" width="37.5546875" style="1" bestFit="1" customWidth="1"/>
    <col min="3" max="3" width="17" style="1" customWidth="1"/>
    <col min="4" max="4" width="33.5546875" style="1" customWidth="1"/>
    <col min="5" max="5" width="16.44140625" style="1" customWidth="1"/>
    <col min="6" max="6" width="16.5546875" style="1" customWidth="1"/>
    <col min="7" max="7" width="4.88671875" style="72" customWidth="1"/>
    <col min="8" max="8" width="15.88671875" style="1" customWidth="1"/>
    <col min="9" max="9" width="17.44140625" style="1" customWidth="1"/>
    <col min="10" max="10" width="18.109375" style="1" customWidth="1"/>
    <col min="11" max="11" width="21.44140625" style="1" customWidth="1"/>
    <col min="12" max="12" width="4.88671875" style="72" customWidth="1"/>
    <col min="13" max="14" width="18.109375" style="1" customWidth="1"/>
    <col min="15" max="15" width="8.88671875" style="1"/>
    <col min="16" max="16" width="10.109375" style="1" bestFit="1" customWidth="1"/>
    <col min="17" max="16384" width="8.88671875" style="1"/>
  </cols>
  <sheetData>
    <row r="1" spans="1:16" ht="18.75" customHeight="1" x14ac:dyDescent="0.3">
      <c r="H1" s="303" t="s">
        <v>550</v>
      </c>
      <c r="I1" s="304"/>
      <c r="J1" s="304"/>
      <c r="K1" s="305"/>
      <c r="M1" s="303" t="s">
        <v>551</v>
      </c>
      <c r="N1" s="305"/>
    </row>
    <row r="2" spans="1:16" x14ac:dyDescent="0.3">
      <c r="A2" s="12" t="s">
        <v>1</v>
      </c>
      <c r="B2" s="12" t="s">
        <v>2</v>
      </c>
      <c r="C2" s="12" t="s">
        <v>552</v>
      </c>
      <c r="D2" s="12" t="s">
        <v>553</v>
      </c>
      <c r="E2" s="12" t="s">
        <v>554</v>
      </c>
      <c r="F2" s="12" t="s">
        <v>555</v>
      </c>
      <c r="H2" s="258" t="s">
        <v>556</v>
      </c>
      <c r="I2" s="12" t="s">
        <v>557</v>
      </c>
      <c r="J2" s="12" t="s">
        <v>558</v>
      </c>
      <c r="K2" s="259" t="s">
        <v>559</v>
      </c>
      <c r="M2" s="258" t="s">
        <v>560</v>
      </c>
      <c r="N2" s="259" t="s">
        <v>561</v>
      </c>
      <c r="P2" s="12" t="s">
        <v>562</v>
      </c>
    </row>
    <row r="3" spans="1:16" x14ac:dyDescent="0.3">
      <c r="A3" s="13">
        <v>565668</v>
      </c>
      <c r="B3" s="50" t="s">
        <v>387</v>
      </c>
      <c r="C3" s="277">
        <f>_xlfn.XLOOKUP(A3,'Product Cost - Price'!$B$5:$B$269,'Product Cost - Price'!$G$5:$G$269)</f>
        <v>20</v>
      </c>
      <c r="D3" s="289" t="str">
        <f>VLOOKUP(A3,'Product Cost - Price'!$B$4:$D$207,3,FALSE)</f>
        <v>Peckish Wild Bird Mix</v>
      </c>
      <c r="E3" s="289">
        <f>VLOOKUP(A3,'Product Cost - Price'!$B$4:$R$206,17,FALSE)</f>
        <v>12.979638333333334</v>
      </c>
      <c r="F3" s="53">
        <f>VLOOKUP(D3,'M - All'!$B$100:$D$183,3,FALSE)</f>
        <v>0.44524525000000004</v>
      </c>
      <c r="H3" s="260"/>
      <c r="I3" s="53">
        <f>IF(H3="",F3,F3-H3)</f>
        <v>0.44524525000000004</v>
      </c>
      <c r="J3" s="53">
        <f>I3*$J$11*C3</f>
        <v>2.1371772</v>
      </c>
      <c r="K3" s="266"/>
      <c r="M3" s="260">
        <f>J3+E3</f>
        <v>15.116815533333334</v>
      </c>
      <c r="N3" s="263" t="e">
        <f>M3-P3</f>
        <v>#VALUE!</v>
      </c>
      <c r="P3" s="53" t="e">
        <f>_xlfn.XLOOKUP(A3,'Product Cost - Price'!$B$5:$B$228,'Product Cost - Price'!$Q$5:$Q$225)</f>
        <v>#VALUE!</v>
      </c>
    </row>
    <row r="4" spans="1:16" x14ac:dyDescent="0.3">
      <c r="A4" s="13">
        <v>565671</v>
      </c>
      <c r="B4" s="50" t="s">
        <v>390</v>
      </c>
      <c r="C4" s="277">
        <f>_xlfn.XLOOKUP(A4,'Product Cost - Price'!$B$5:$B$269,'Product Cost - Price'!$G$5:$G$269)</f>
        <v>20</v>
      </c>
      <c r="D4" s="289" t="str">
        <f>VLOOKUP(A4,'Product Cost - Price'!$B$4:$D$207,3,FALSE)</f>
        <v>Peckish Pigeon Mix</v>
      </c>
      <c r="E4" s="289">
        <f>VLOOKUP(A4,'Product Cost - Price'!$B$4:$R$206,17,FALSE)</f>
        <v>14.512513333333333</v>
      </c>
      <c r="F4" s="53">
        <f>VLOOKUP(D4,'M - All'!$B$100:$D$183,3,FALSE)</f>
        <v>0.52188900000000005</v>
      </c>
      <c r="H4" s="260"/>
      <c r="I4" s="53">
        <f t="shared" ref="I4:I7" si="0">IF(H4="",F4,F4-H4)</f>
        <v>0.52188900000000005</v>
      </c>
      <c r="J4" s="53">
        <f>I4*$J$11*C4</f>
        <v>2.5050672</v>
      </c>
      <c r="K4" s="266"/>
      <c r="M4" s="260">
        <f>J4+E4</f>
        <v>17.017580533333334</v>
      </c>
      <c r="N4" s="263" t="e">
        <f>M4-P4</f>
        <v>#VALUE!</v>
      </c>
      <c r="P4" s="53" t="e">
        <f>_xlfn.XLOOKUP(A4,'Product Cost - Price'!$B$5:$B$228,'Product Cost - Price'!$Q$5:$Q$225)</f>
        <v>#VALUE!</v>
      </c>
    </row>
    <row r="5" spans="1:16" x14ac:dyDescent="0.3">
      <c r="A5" s="255">
        <v>565667</v>
      </c>
      <c r="B5" s="268" t="s">
        <v>386</v>
      </c>
      <c r="C5" s="277">
        <f>_xlfn.XLOOKUP(A5,'Product Cost - Price'!$B$5:$B$269,'Product Cost - Price'!$G$5:$G$269)</f>
        <v>18</v>
      </c>
      <c r="D5" s="289" t="str">
        <f>VLOOKUP(A5,'Product Cost - Price'!$B$4:$D$207,3,FALSE)</f>
        <v>Peckish Free Range Layer Mix</v>
      </c>
      <c r="E5" s="289">
        <f>VLOOKUP(A5,'Product Cost - Price'!$B$4:$R$206,17,FALSE)</f>
        <v>12.693595185185185</v>
      </c>
      <c r="F5" s="53">
        <f>VLOOKUP(D5,'M - All'!$B$100:$D$183,3,FALSE)</f>
        <v>0.49892500000000001</v>
      </c>
      <c r="H5" s="260">
        <f>(INDEX('M - All'!$C$100:$BL$195,MATCH('Peckish Costing'!D5,'M - All'!$B$100:$B$195,0),MATCH(K5,'M - All'!$C$99:$BL$99,0)))/INDEX('M - All'!$C$2:$C$95,MATCH(D5,'M - All'!$B$2:$B$95,0),MATCH(AllMix[[#Headers],[Total KGs per mix]],AllMix[[#Headers],[Total KGs per mix]],0))</f>
        <v>2.1999999999999999E-2</v>
      </c>
      <c r="I5" s="53">
        <f>IF(H5="",F5,F5-H5)</f>
        <v>0.47692499999999999</v>
      </c>
      <c r="J5" s="53">
        <f>I5*$J$11*C5</f>
        <v>2.0603159999999998</v>
      </c>
      <c r="K5" s="266" t="s">
        <v>298</v>
      </c>
      <c r="M5" s="260">
        <f>J5+E5</f>
        <v>14.753911185185185</v>
      </c>
      <c r="N5" s="263" t="e">
        <f>M5-P5</f>
        <v>#VALUE!</v>
      </c>
      <c r="P5" s="53" t="e">
        <f>_xlfn.XLOOKUP(A5,'Product Cost - Price'!$B$5:$B$228,'Product Cost - Price'!$Q$5:$Q$225)</f>
        <v>#VALUE!</v>
      </c>
    </row>
    <row r="6" spans="1:16" x14ac:dyDescent="0.3">
      <c r="A6" s="13">
        <v>565669</v>
      </c>
      <c r="B6" s="50" t="s">
        <v>388</v>
      </c>
      <c r="C6" s="277">
        <f>_xlfn.XLOOKUP(A6,'Product Cost - Price'!$B$5:$B$269,'Product Cost - Price'!$G$5:$G$269)</f>
        <v>18</v>
      </c>
      <c r="D6" s="289" t="str">
        <f>VLOOKUP(A6,'Product Cost - Price'!$B$4:$D$207,3,FALSE)</f>
        <v>Peckish Performance Layer Mix</v>
      </c>
      <c r="E6" s="289">
        <f>VLOOKUP(A6,'Product Cost - Price'!$B$4:$R$206,17,FALSE)</f>
        <v>14.070226185185186</v>
      </c>
      <c r="F6" s="53">
        <f>VLOOKUP(D6,'M - All'!$B$100:$D$183,3,FALSE)</f>
        <v>0.5754045000000001</v>
      </c>
      <c r="H6" s="260">
        <f>(INDEX('M - All'!$C$100:$BL$195,MATCH('Peckish Costing'!D6,'M - All'!$B$100:$B$195,0),MATCH(K6,'M - All'!$C$99:$BL$99,0)))/INDEX('M - All'!$C$2:$C$95,MATCH(D6,'M - All'!$B$2:$B$95,0),MATCH(AllMix[[#Headers],[Total KGs per mix]],AllMix[[#Headers],[Total KGs per mix]],0))</f>
        <v>0.1875</v>
      </c>
      <c r="I6" s="53">
        <f t="shared" si="0"/>
        <v>0.3879045000000001</v>
      </c>
      <c r="J6" s="53">
        <f>I6*$J$11*C6</f>
        <v>1.6757474400000005</v>
      </c>
      <c r="K6" s="266" t="s">
        <v>563</v>
      </c>
      <c r="M6" s="260">
        <f>J6+E6</f>
        <v>15.745973625185187</v>
      </c>
      <c r="N6" s="263" t="e">
        <f>M6-P6</f>
        <v>#VALUE!</v>
      </c>
      <c r="P6" s="53" t="e">
        <f>_xlfn.XLOOKUP(A6,'Product Cost - Price'!$B$5:$B$228,'Product Cost - Price'!$Q$5:$Q$225)</f>
        <v>#VALUE!</v>
      </c>
    </row>
    <row r="7" spans="1:16" ht="15" thickBot="1" x14ac:dyDescent="0.35">
      <c r="A7" s="13">
        <v>565670</v>
      </c>
      <c r="B7" s="50" t="s">
        <v>389</v>
      </c>
      <c r="C7" s="277">
        <f>_xlfn.XLOOKUP(A7,'Product Cost - Price'!$B$5:$B$269,'Product Cost - Price'!$G$5:$G$269)</f>
        <v>20</v>
      </c>
      <c r="D7" s="289" t="str">
        <f>VLOOKUP(A7,'Product Cost - Price'!$B$4:$D$207,3,FALSE)</f>
        <v>Peckish Wheat</v>
      </c>
      <c r="E7" s="289">
        <f>VLOOKUP(A7,'Product Cost - Price'!$B$4:$R$206,17,FALSE)</f>
        <v>11.529733333333334</v>
      </c>
      <c r="F7" s="53">
        <f>VLOOKUP(D7,'M - All'!$B$100:$D$183,3,FALSE)</f>
        <v>0.37275000000000003</v>
      </c>
      <c r="H7" s="261"/>
      <c r="I7" s="262">
        <f t="shared" si="0"/>
        <v>0.37275000000000003</v>
      </c>
      <c r="J7" s="262">
        <f>I7*$J$11*C7</f>
        <v>1.7891999999999999</v>
      </c>
      <c r="K7" s="267"/>
      <c r="M7" s="261">
        <f>J7+E7</f>
        <v>13.318933333333334</v>
      </c>
      <c r="N7" s="264" t="e">
        <f>M7-P7</f>
        <v>#VALUE!</v>
      </c>
      <c r="P7" s="53" t="e">
        <f>_xlfn.XLOOKUP(A7,'Product Cost - Price'!$B$5:$B$228,'Product Cost - Price'!$Q$5:$Q$225)</f>
        <v>#VALUE!</v>
      </c>
    </row>
    <row r="10" spans="1:16" x14ac:dyDescent="0.3">
      <c r="M10" s="4"/>
    </row>
    <row r="11" spans="1:16" x14ac:dyDescent="0.3">
      <c r="I11" s="1" t="s">
        <v>564</v>
      </c>
      <c r="J11" s="265">
        <v>0.24</v>
      </c>
      <c r="K11" s="3"/>
      <c r="M11" s="24"/>
    </row>
    <row r="12" spans="1:16" x14ac:dyDescent="0.3">
      <c r="H12" s="256"/>
      <c r="I12" s="256"/>
      <c r="J12" s="256"/>
      <c r="K12" s="256"/>
      <c r="M12" s="256"/>
    </row>
    <row r="13" spans="1:16" x14ac:dyDescent="0.3">
      <c r="M13" s="4"/>
    </row>
    <row r="14" spans="1:16" x14ac:dyDescent="0.3">
      <c r="M14" s="4"/>
    </row>
  </sheetData>
  <mergeCells count="2">
    <mergeCell ref="H1:K1"/>
    <mergeCell ref="M1:N1"/>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DA1D-A144-4FD8-A467-A5EB972D9E4F}">
  <sheetPr codeName="Sheet2">
    <tabColor theme="5" tint="0.79998168889431442"/>
  </sheetPr>
  <dimension ref="A1:N80"/>
  <sheetViews>
    <sheetView topLeftCell="A51" zoomScale="115" zoomScaleNormal="115" workbookViewId="0">
      <selection activeCell="A10" sqref="A10"/>
    </sheetView>
  </sheetViews>
  <sheetFormatPr defaultColWidth="9.109375" defaultRowHeight="13.8" x14ac:dyDescent="0.25"/>
  <cols>
    <col min="1" max="1" width="40.5546875" style="1" bestFit="1" customWidth="1"/>
    <col min="2" max="2" width="23.109375" style="4" customWidth="1"/>
    <col min="3" max="3" width="20.109375" style="6" customWidth="1"/>
    <col min="4" max="4" width="27" style="6" customWidth="1"/>
    <col min="5" max="5" width="11.5546875" style="6" customWidth="1"/>
    <col min="6" max="6" width="13.5546875" style="1" bestFit="1" customWidth="1"/>
    <col min="7" max="7" width="29.5546875" style="1" customWidth="1"/>
    <col min="8" max="8" width="15.44140625" style="1" customWidth="1"/>
    <col min="9" max="9" width="10.44140625" style="1" bestFit="1" customWidth="1"/>
    <col min="10" max="11" width="23.109375" style="4" customWidth="1"/>
    <col min="12" max="12" width="9.109375" style="1"/>
    <col min="13" max="14" width="23.109375" style="4" customWidth="1"/>
    <col min="15" max="16384" width="9.109375" style="1"/>
  </cols>
  <sheetData>
    <row r="1" spans="1:14" x14ac:dyDescent="0.25">
      <c r="J1" s="309" t="s">
        <v>29</v>
      </c>
      <c r="K1" s="309"/>
      <c r="M1" s="309" t="s">
        <v>565</v>
      </c>
      <c r="N1" s="309"/>
    </row>
    <row r="2" spans="1:14" s="5" customFormat="1" ht="51" customHeight="1" x14ac:dyDescent="0.3">
      <c r="A2" s="22" t="s">
        <v>566</v>
      </c>
      <c r="B2" s="91" t="s">
        <v>567</v>
      </c>
      <c r="C2" s="91" t="s">
        <v>552</v>
      </c>
      <c r="D2" s="91" t="s">
        <v>568</v>
      </c>
      <c r="E2" s="91" t="s">
        <v>569</v>
      </c>
      <c r="F2" s="32" t="s">
        <v>570</v>
      </c>
      <c r="G2" s="91" t="s">
        <v>571</v>
      </c>
      <c r="H2" s="92" t="s">
        <v>572</v>
      </c>
      <c r="J2" s="152" t="s">
        <v>573</v>
      </c>
      <c r="K2" s="152" t="s">
        <v>574</v>
      </c>
      <c r="M2" s="152" t="s">
        <v>573</v>
      </c>
      <c r="N2" s="152" t="s">
        <v>574</v>
      </c>
    </row>
    <row r="3" spans="1:14" x14ac:dyDescent="0.25">
      <c r="A3" s="254" t="s">
        <v>575</v>
      </c>
      <c r="B3" s="41">
        <v>31.4</v>
      </c>
      <c r="C3" s="13" t="s">
        <v>576</v>
      </c>
      <c r="D3" s="13">
        <v>20</v>
      </c>
      <c r="E3" s="148">
        <v>0</v>
      </c>
      <c r="F3" s="43">
        <f t="shared" ref="F3:F28" si="0">B3*E3</f>
        <v>0</v>
      </c>
      <c r="G3" s="23">
        <f t="shared" ref="G3:G34" si="1">F3+B3</f>
        <v>31.4</v>
      </c>
      <c r="H3" s="286">
        <f>G3/D3</f>
        <v>1.5699999999999998</v>
      </c>
      <c r="J3" s="41">
        <v>31.4</v>
      </c>
      <c r="K3" s="41">
        <v>31.4</v>
      </c>
      <c r="M3" s="41">
        <v>31.4</v>
      </c>
      <c r="N3" s="41">
        <v>34.4</v>
      </c>
    </row>
    <row r="4" spans="1:14" x14ac:dyDescent="0.25">
      <c r="A4" s="254" t="s">
        <v>577</v>
      </c>
      <c r="B4" s="41">
        <v>1655</v>
      </c>
      <c r="C4" s="13" t="s">
        <v>578</v>
      </c>
      <c r="D4" s="13">
        <v>1000</v>
      </c>
      <c r="E4" s="148">
        <v>0</v>
      </c>
      <c r="F4" s="43">
        <f t="shared" si="0"/>
        <v>0</v>
      </c>
      <c r="G4" s="23">
        <f t="shared" si="1"/>
        <v>1655</v>
      </c>
      <c r="H4" s="286">
        <f>G4/D4</f>
        <v>1.655</v>
      </c>
      <c r="I4" s="10"/>
      <c r="J4" s="41">
        <v>1655</v>
      </c>
      <c r="K4" s="41">
        <v>1655</v>
      </c>
      <c r="M4" s="41">
        <v>1655</v>
      </c>
      <c r="N4" s="41">
        <v>1626.24</v>
      </c>
    </row>
    <row r="5" spans="1:14" x14ac:dyDescent="0.25">
      <c r="A5" s="254" t="s">
        <v>579</v>
      </c>
      <c r="B5" s="41">
        <v>0</v>
      </c>
      <c r="C5" s="13"/>
      <c r="D5" s="13"/>
      <c r="E5" s="148">
        <v>0</v>
      </c>
      <c r="F5" s="43">
        <f t="shared" si="0"/>
        <v>0</v>
      </c>
      <c r="G5" s="23">
        <f t="shared" si="1"/>
        <v>0</v>
      </c>
      <c r="H5" s="286">
        <v>0</v>
      </c>
      <c r="J5" s="41">
        <v>0</v>
      </c>
      <c r="K5" s="41">
        <v>0</v>
      </c>
      <c r="M5" s="41">
        <v>0</v>
      </c>
      <c r="N5" s="41">
        <v>0</v>
      </c>
    </row>
    <row r="6" spans="1:14" x14ac:dyDescent="0.25">
      <c r="A6" s="254" t="s">
        <v>146</v>
      </c>
      <c r="B6" s="50">
        <v>337</v>
      </c>
      <c r="C6" s="13" t="s">
        <v>578</v>
      </c>
      <c r="D6" s="13">
        <v>1000</v>
      </c>
      <c r="E6" s="148">
        <v>0.05</v>
      </c>
      <c r="F6" s="43">
        <f t="shared" si="0"/>
        <v>16.850000000000001</v>
      </c>
      <c r="G6" s="23">
        <f t="shared" si="1"/>
        <v>353.85</v>
      </c>
      <c r="H6" s="286">
        <f t="shared" ref="H6:H33" si="2">G6/D6</f>
        <v>0.35385</v>
      </c>
      <c r="J6" s="50">
        <v>355</v>
      </c>
      <c r="K6" s="41">
        <v>337</v>
      </c>
      <c r="M6" s="50">
        <v>355</v>
      </c>
      <c r="N6" s="41">
        <v>337</v>
      </c>
    </row>
    <row r="7" spans="1:14" x14ac:dyDescent="0.25">
      <c r="A7" s="254" t="s">
        <v>134</v>
      </c>
      <c r="B7" s="50">
        <v>140</v>
      </c>
      <c r="C7" s="13" t="s">
        <v>578</v>
      </c>
      <c r="D7" s="13">
        <v>1000</v>
      </c>
      <c r="E7" s="148">
        <v>0</v>
      </c>
      <c r="F7" s="43">
        <f t="shared" si="0"/>
        <v>0</v>
      </c>
      <c r="G7" s="23">
        <f t="shared" si="1"/>
        <v>140</v>
      </c>
      <c r="H7" s="286">
        <f t="shared" si="2"/>
        <v>0.14000000000000001</v>
      </c>
      <c r="J7" s="50">
        <v>140</v>
      </c>
      <c r="K7" s="41">
        <v>140</v>
      </c>
      <c r="M7" s="50">
        <v>140</v>
      </c>
      <c r="N7" s="41">
        <v>140</v>
      </c>
    </row>
    <row r="8" spans="1:14" x14ac:dyDescent="0.25">
      <c r="A8" s="254" t="s">
        <v>154</v>
      </c>
      <c r="B8" s="50">
        <v>1365</v>
      </c>
      <c r="C8" s="13" t="s">
        <v>578</v>
      </c>
      <c r="D8" s="13">
        <v>1000</v>
      </c>
      <c r="E8" s="148">
        <v>0.08</v>
      </c>
      <c r="F8" s="43">
        <f t="shared" si="0"/>
        <v>109.2</v>
      </c>
      <c r="G8" s="23">
        <f t="shared" si="1"/>
        <v>1474.2</v>
      </c>
      <c r="H8" s="286">
        <f t="shared" si="2"/>
        <v>1.4742</v>
      </c>
      <c r="J8" s="50">
        <v>1365</v>
      </c>
      <c r="K8" s="41">
        <v>1180</v>
      </c>
      <c r="M8" s="50">
        <v>1365</v>
      </c>
      <c r="N8" s="41">
        <v>1430</v>
      </c>
    </row>
    <row r="9" spans="1:14" x14ac:dyDescent="0.25">
      <c r="A9" s="254" t="s">
        <v>580</v>
      </c>
      <c r="B9" s="50">
        <v>19.5</v>
      </c>
      <c r="C9" s="13" t="s">
        <v>581</v>
      </c>
      <c r="D9" s="13">
        <v>20</v>
      </c>
      <c r="E9" s="148">
        <v>0</v>
      </c>
      <c r="F9" s="43">
        <f t="shared" si="0"/>
        <v>0</v>
      </c>
      <c r="G9" s="23">
        <f t="shared" si="1"/>
        <v>19.5</v>
      </c>
      <c r="H9" s="286">
        <f t="shared" si="2"/>
        <v>0.97499999999999998</v>
      </c>
      <c r="J9" s="50">
        <v>19.5</v>
      </c>
      <c r="K9" s="41">
        <v>19.5</v>
      </c>
      <c r="M9" s="50">
        <v>19.5</v>
      </c>
      <c r="N9" s="41">
        <v>19.5</v>
      </c>
    </row>
    <row r="10" spans="1:14" x14ac:dyDescent="0.25">
      <c r="A10" s="254" t="s">
        <v>582</v>
      </c>
      <c r="B10" s="50">
        <v>956</v>
      </c>
      <c r="C10" s="13" t="s">
        <v>578</v>
      </c>
      <c r="D10" s="13">
        <v>1000</v>
      </c>
      <c r="E10" s="148">
        <v>0</v>
      </c>
      <c r="F10" s="43">
        <f t="shared" si="0"/>
        <v>0</v>
      </c>
      <c r="G10" s="23">
        <f t="shared" si="1"/>
        <v>956</v>
      </c>
      <c r="H10" s="286">
        <f t="shared" si="2"/>
        <v>0.95599999999999996</v>
      </c>
      <c r="J10" s="50">
        <v>956</v>
      </c>
      <c r="K10" s="41">
        <v>956</v>
      </c>
      <c r="M10" s="50">
        <v>956</v>
      </c>
      <c r="N10" s="41">
        <v>895.86</v>
      </c>
    </row>
    <row r="11" spans="1:14" x14ac:dyDescent="0.25">
      <c r="A11" s="254" t="s">
        <v>169</v>
      </c>
      <c r="B11" s="50">
        <v>1960</v>
      </c>
      <c r="C11" s="13" t="s">
        <v>578</v>
      </c>
      <c r="D11" s="13">
        <v>1000</v>
      </c>
      <c r="E11" s="149">
        <v>5.0000000000000001E-3</v>
      </c>
      <c r="F11" s="43">
        <f t="shared" si="0"/>
        <v>9.8000000000000007</v>
      </c>
      <c r="G11" s="23">
        <f t="shared" si="1"/>
        <v>1969.8</v>
      </c>
      <c r="H11" s="286">
        <f t="shared" si="2"/>
        <v>1.9698</v>
      </c>
      <c r="J11" s="50">
        <v>1960</v>
      </c>
      <c r="K11" s="41">
        <v>1960</v>
      </c>
      <c r="M11" s="50">
        <v>1960</v>
      </c>
      <c r="N11" s="41">
        <v>1920</v>
      </c>
    </row>
    <row r="12" spans="1:14" x14ac:dyDescent="0.25">
      <c r="A12" s="254" t="s">
        <v>583</v>
      </c>
      <c r="B12" s="50">
        <v>780</v>
      </c>
      <c r="C12" s="13" t="s">
        <v>578</v>
      </c>
      <c r="D12" s="13">
        <v>1000</v>
      </c>
      <c r="E12" s="148">
        <v>0</v>
      </c>
      <c r="F12" s="43">
        <f t="shared" si="0"/>
        <v>0</v>
      </c>
      <c r="G12" s="23">
        <f t="shared" si="1"/>
        <v>780</v>
      </c>
      <c r="H12" s="286">
        <f t="shared" si="2"/>
        <v>0.78</v>
      </c>
      <c r="J12" s="50">
        <v>780</v>
      </c>
      <c r="K12" s="41">
        <v>780</v>
      </c>
      <c r="M12" s="50">
        <v>780</v>
      </c>
      <c r="N12" s="41">
        <v>750.82</v>
      </c>
    </row>
    <row r="13" spans="1:14" x14ac:dyDescent="0.25">
      <c r="A13" s="254" t="s">
        <v>157</v>
      </c>
      <c r="B13" s="50">
        <v>650</v>
      </c>
      <c r="C13" s="13" t="s">
        <v>578</v>
      </c>
      <c r="D13" s="13">
        <v>1000</v>
      </c>
      <c r="E13" s="148">
        <v>0.02</v>
      </c>
      <c r="F13" s="43">
        <f t="shared" si="0"/>
        <v>13</v>
      </c>
      <c r="G13" s="23">
        <f t="shared" si="1"/>
        <v>663</v>
      </c>
      <c r="H13" s="286">
        <f t="shared" si="2"/>
        <v>0.66300000000000003</v>
      </c>
      <c r="J13" s="50">
        <v>650</v>
      </c>
      <c r="K13" s="41">
        <v>880</v>
      </c>
      <c r="M13" s="50">
        <v>650</v>
      </c>
      <c r="N13" s="41">
        <v>880</v>
      </c>
    </row>
    <row r="14" spans="1:14" x14ac:dyDescent="0.25">
      <c r="A14" s="254" t="s">
        <v>584</v>
      </c>
      <c r="B14" s="50">
        <v>1060</v>
      </c>
      <c r="C14" s="13" t="s">
        <v>578</v>
      </c>
      <c r="D14" s="13">
        <v>1000</v>
      </c>
      <c r="E14" s="148">
        <v>0</v>
      </c>
      <c r="F14" s="43">
        <f t="shared" si="0"/>
        <v>0</v>
      </c>
      <c r="G14" s="23">
        <f t="shared" si="1"/>
        <v>1060</v>
      </c>
      <c r="H14" s="286">
        <f t="shared" si="2"/>
        <v>1.06</v>
      </c>
      <c r="J14" s="50">
        <v>1060</v>
      </c>
      <c r="K14" s="41">
        <v>1060</v>
      </c>
      <c r="M14" s="50">
        <v>1060</v>
      </c>
      <c r="N14" s="41">
        <v>1150</v>
      </c>
    </row>
    <row r="15" spans="1:14" x14ac:dyDescent="0.25">
      <c r="A15" s="254" t="s">
        <v>585</v>
      </c>
      <c r="B15" s="50">
        <v>2500</v>
      </c>
      <c r="C15" s="13" t="s">
        <v>578</v>
      </c>
      <c r="D15" s="13">
        <v>1000</v>
      </c>
      <c r="E15" s="148">
        <v>0</v>
      </c>
      <c r="F15" s="43">
        <f t="shared" si="0"/>
        <v>0</v>
      </c>
      <c r="G15" s="23">
        <f t="shared" si="1"/>
        <v>2500</v>
      </c>
      <c r="H15" s="286">
        <f t="shared" si="2"/>
        <v>2.5</v>
      </c>
      <c r="J15" s="50">
        <v>2500</v>
      </c>
      <c r="K15" s="41">
        <v>2500</v>
      </c>
      <c r="M15" s="50">
        <v>2500</v>
      </c>
      <c r="N15" s="41">
        <v>2500</v>
      </c>
    </row>
    <row r="16" spans="1:14" x14ac:dyDescent="0.25">
      <c r="A16" s="254" t="s">
        <v>586</v>
      </c>
      <c r="B16" s="50">
        <v>2300</v>
      </c>
      <c r="C16" s="13" t="s">
        <v>578</v>
      </c>
      <c r="D16" s="13">
        <v>1000</v>
      </c>
      <c r="E16" s="148">
        <v>0</v>
      </c>
      <c r="F16" s="43">
        <f t="shared" si="0"/>
        <v>0</v>
      </c>
      <c r="G16" s="23">
        <f t="shared" si="1"/>
        <v>2300</v>
      </c>
      <c r="H16" s="286">
        <f t="shared" si="2"/>
        <v>2.2999999999999998</v>
      </c>
      <c r="J16" s="50">
        <v>2300</v>
      </c>
      <c r="K16" s="41">
        <v>2300</v>
      </c>
      <c r="M16" s="50">
        <v>2300</v>
      </c>
      <c r="N16" s="41">
        <v>2300</v>
      </c>
    </row>
    <row r="17" spans="1:14" x14ac:dyDescent="0.25">
      <c r="A17" s="254" t="s">
        <v>587</v>
      </c>
      <c r="B17" s="50">
        <v>462</v>
      </c>
      <c r="C17" s="13" t="s">
        <v>588</v>
      </c>
      <c r="D17" s="13">
        <v>18</v>
      </c>
      <c r="E17" s="148">
        <v>0</v>
      </c>
      <c r="F17" s="43">
        <f t="shared" si="0"/>
        <v>0</v>
      </c>
      <c r="G17" s="23">
        <f t="shared" si="1"/>
        <v>462</v>
      </c>
      <c r="H17" s="286">
        <f t="shared" si="2"/>
        <v>25.666666666666668</v>
      </c>
      <c r="J17" s="50">
        <v>462</v>
      </c>
      <c r="K17" s="41">
        <v>462</v>
      </c>
      <c r="M17" s="50">
        <v>462</v>
      </c>
      <c r="N17" s="41">
        <v>462</v>
      </c>
    </row>
    <row r="18" spans="1:14" x14ac:dyDescent="0.25">
      <c r="A18" s="254" t="s">
        <v>589</v>
      </c>
      <c r="B18" s="50">
        <v>48</v>
      </c>
      <c r="C18" s="45" t="s">
        <v>581</v>
      </c>
      <c r="D18" s="13">
        <v>20</v>
      </c>
      <c r="E18" s="148">
        <v>0</v>
      </c>
      <c r="F18" s="43">
        <f t="shared" si="0"/>
        <v>0</v>
      </c>
      <c r="G18" s="23">
        <f t="shared" si="1"/>
        <v>48</v>
      </c>
      <c r="H18" s="286">
        <f t="shared" si="2"/>
        <v>2.4</v>
      </c>
      <c r="J18" s="50">
        <v>48</v>
      </c>
      <c r="K18" s="41">
        <v>48</v>
      </c>
      <c r="M18" s="50">
        <v>48</v>
      </c>
      <c r="N18" s="41">
        <v>48</v>
      </c>
    </row>
    <row r="19" spans="1:14" x14ac:dyDescent="0.25">
      <c r="A19" s="254" t="s">
        <v>590</v>
      </c>
      <c r="B19" s="50">
        <v>36.5</v>
      </c>
      <c r="C19" s="13" t="s">
        <v>581</v>
      </c>
      <c r="D19" s="13">
        <v>20</v>
      </c>
      <c r="E19" s="148">
        <v>0</v>
      </c>
      <c r="F19" s="43">
        <f t="shared" si="0"/>
        <v>0</v>
      </c>
      <c r="G19" s="23">
        <f t="shared" si="1"/>
        <v>36.5</v>
      </c>
      <c r="H19" s="286">
        <f t="shared" si="2"/>
        <v>1.825</v>
      </c>
      <c r="J19" s="50">
        <v>36.5</v>
      </c>
      <c r="K19" s="41">
        <v>36.5</v>
      </c>
      <c r="M19" s="50">
        <v>36.5</v>
      </c>
      <c r="N19" s="41">
        <v>36.6</v>
      </c>
    </row>
    <row r="20" spans="1:14" x14ac:dyDescent="0.25">
      <c r="A20" s="254" t="s">
        <v>536</v>
      </c>
      <c r="B20" s="50">
        <v>1470</v>
      </c>
      <c r="C20" s="13" t="s">
        <v>578</v>
      </c>
      <c r="D20" s="13">
        <v>1000</v>
      </c>
      <c r="E20" s="148">
        <v>0.05</v>
      </c>
      <c r="F20" s="43">
        <f t="shared" si="0"/>
        <v>73.5</v>
      </c>
      <c r="G20" s="23">
        <f t="shared" si="1"/>
        <v>1543.5</v>
      </c>
      <c r="H20" s="286">
        <f t="shared" si="2"/>
        <v>1.5435000000000001</v>
      </c>
      <c r="J20" s="50">
        <v>1470</v>
      </c>
      <c r="K20" s="41">
        <v>1300</v>
      </c>
      <c r="M20" s="50">
        <v>1470</v>
      </c>
      <c r="N20" s="41">
        <v>1380</v>
      </c>
    </row>
    <row r="21" spans="1:14" x14ac:dyDescent="0.25">
      <c r="A21" s="254" t="s">
        <v>242</v>
      </c>
      <c r="B21" s="50">
        <v>430</v>
      </c>
      <c r="C21" s="13" t="s">
        <v>578</v>
      </c>
      <c r="D21" s="13">
        <v>1000</v>
      </c>
      <c r="E21" s="148">
        <v>0.05</v>
      </c>
      <c r="F21" s="43">
        <f t="shared" si="0"/>
        <v>21.5</v>
      </c>
      <c r="G21" s="23">
        <f t="shared" si="1"/>
        <v>451.5</v>
      </c>
      <c r="H21" s="286">
        <f t="shared" si="2"/>
        <v>0.45150000000000001</v>
      </c>
      <c r="J21" s="50">
        <v>430</v>
      </c>
      <c r="K21" s="41">
        <v>385</v>
      </c>
      <c r="M21" s="50">
        <v>430</v>
      </c>
      <c r="N21" s="41">
        <v>385</v>
      </c>
    </row>
    <row r="22" spans="1:14" x14ac:dyDescent="0.25">
      <c r="A22" s="254" t="s">
        <v>247</v>
      </c>
      <c r="B22" s="50">
        <v>900</v>
      </c>
      <c r="C22" s="13" t="s">
        <v>578</v>
      </c>
      <c r="D22" s="13">
        <v>1000</v>
      </c>
      <c r="E22" s="149">
        <v>5.0000000000000001E-3</v>
      </c>
      <c r="F22" s="43">
        <f t="shared" si="0"/>
        <v>4.5</v>
      </c>
      <c r="G22" s="23">
        <f t="shared" si="1"/>
        <v>904.5</v>
      </c>
      <c r="H22" s="286">
        <f t="shared" si="2"/>
        <v>0.90449999999999997</v>
      </c>
      <c r="J22" s="50">
        <v>900</v>
      </c>
      <c r="K22" s="41">
        <v>770</v>
      </c>
      <c r="M22" s="50">
        <v>900</v>
      </c>
      <c r="N22" s="41">
        <v>770</v>
      </c>
    </row>
    <row r="23" spans="1:14" x14ac:dyDescent="0.25">
      <c r="A23" s="254" t="s">
        <v>591</v>
      </c>
      <c r="B23" s="50">
        <v>146.19999999999999</v>
      </c>
      <c r="C23" s="45" t="s">
        <v>581</v>
      </c>
      <c r="D23" s="13">
        <v>20</v>
      </c>
      <c r="E23" s="148">
        <v>0</v>
      </c>
      <c r="F23" s="43">
        <f t="shared" si="0"/>
        <v>0</v>
      </c>
      <c r="G23" s="23">
        <f t="shared" si="1"/>
        <v>146.19999999999999</v>
      </c>
      <c r="H23" s="286">
        <f t="shared" si="2"/>
        <v>7.31</v>
      </c>
      <c r="J23" s="50">
        <v>146.19999999999999</v>
      </c>
      <c r="K23" s="41">
        <v>146.19999999999999</v>
      </c>
      <c r="M23" s="50">
        <v>146.19999999999999</v>
      </c>
      <c r="N23" s="41">
        <v>146.19999999999999</v>
      </c>
    </row>
    <row r="24" spans="1:14" x14ac:dyDescent="0.25">
      <c r="A24" s="254" t="s">
        <v>592</v>
      </c>
      <c r="B24" s="50">
        <v>150</v>
      </c>
      <c r="C24" s="13" t="s">
        <v>578</v>
      </c>
      <c r="D24" s="13">
        <v>1000</v>
      </c>
      <c r="E24" s="148">
        <v>0</v>
      </c>
      <c r="F24" s="43">
        <f t="shared" si="0"/>
        <v>0</v>
      </c>
      <c r="G24" s="23">
        <f t="shared" si="1"/>
        <v>150</v>
      </c>
      <c r="H24" s="286">
        <f t="shared" si="2"/>
        <v>0.15</v>
      </c>
      <c r="J24" s="50">
        <v>150</v>
      </c>
      <c r="K24" s="41">
        <v>150</v>
      </c>
      <c r="M24" s="50">
        <v>150</v>
      </c>
      <c r="N24" s="41">
        <v>150</v>
      </c>
    </row>
    <row r="25" spans="1:14" x14ac:dyDescent="0.25">
      <c r="A25" s="254" t="s">
        <v>563</v>
      </c>
      <c r="B25" s="50">
        <v>750</v>
      </c>
      <c r="C25" s="13" t="s">
        <v>578</v>
      </c>
      <c r="D25" s="13">
        <v>1000</v>
      </c>
      <c r="E25" s="148">
        <v>0</v>
      </c>
      <c r="F25" s="43">
        <f t="shared" si="0"/>
        <v>0</v>
      </c>
      <c r="G25" s="23">
        <f t="shared" si="1"/>
        <v>750</v>
      </c>
      <c r="H25" s="286">
        <f t="shared" si="2"/>
        <v>0.75</v>
      </c>
      <c r="J25" s="50">
        <v>750</v>
      </c>
      <c r="K25" s="41">
        <v>750</v>
      </c>
      <c r="M25" s="50">
        <v>750</v>
      </c>
      <c r="N25" s="41">
        <v>750</v>
      </c>
    </row>
    <row r="26" spans="1:14" x14ac:dyDescent="0.25">
      <c r="A26" s="254" t="s">
        <v>593</v>
      </c>
      <c r="B26" s="50">
        <v>8.8000000000000007</v>
      </c>
      <c r="C26" s="13" t="s">
        <v>581</v>
      </c>
      <c r="D26" s="13">
        <v>20</v>
      </c>
      <c r="E26" s="148">
        <v>0</v>
      </c>
      <c r="F26" s="43">
        <f t="shared" si="0"/>
        <v>0</v>
      </c>
      <c r="G26" s="23">
        <f t="shared" si="1"/>
        <v>8.8000000000000007</v>
      </c>
      <c r="H26" s="286">
        <f t="shared" si="2"/>
        <v>0.44000000000000006</v>
      </c>
      <c r="J26" s="50">
        <v>8.8000000000000007</v>
      </c>
      <c r="K26" s="41">
        <v>8.8000000000000007</v>
      </c>
      <c r="M26" s="50">
        <v>8.8000000000000007</v>
      </c>
      <c r="N26" s="41">
        <v>8.8000000000000007</v>
      </c>
    </row>
    <row r="27" spans="1:14" x14ac:dyDescent="0.25">
      <c r="A27" s="254" t="s">
        <v>160</v>
      </c>
      <c r="B27" s="50">
        <v>2050</v>
      </c>
      <c r="C27" s="13" t="s">
        <v>578</v>
      </c>
      <c r="D27" s="13">
        <v>1000</v>
      </c>
      <c r="E27" s="148">
        <v>0</v>
      </c>
      <c r="F27" s="43">
        <f t="shared" si="0"/>
        <v>0</v>
      </c>
      <c r="G27" s="23">
        <f t="shared" si="1"/>
        <v>2050</v>
      </c>
      <c r="H27" s="286">
        <f t="shared" si="2"/>
        <v>2.0499999999999998</v>
      </c>
      <c r="J27" s="50">
        <v>2050</v>
      </c>
      <c r="K27" s="41">
        <v>2050</v>
      </c>
      <c r="M27" s="50">
        <v>2050</v>
      </c>
      <c r="N27" s="41">
        <v>2050</v>
      </c>
    </row>
    <row r="28" spans="1:14" x14ac:dyDescent="0.25">
      <c r="A28" s="254" t="s">
        <v>197</v>
      </c>
      <c r="B28" s="50">
        <v>21.5</v>
      </c>
      <c r="C28" s="13" t="s">
        <v>581</v>
      </c>
      <c r="D28" s="13">
        <v>20</v>
      </c>
      <c r="E28" s="148">
        <v>0</v>
      </c>
      <c r="F28" s="43">
        <f t="shared" si="0"/>
        <v>0</v>
      </c>
      <c r="G28" s="23">
        <f t="shared" si="1"/>
        <v>21.5</v>
      </c>
      <c r="H28" s="286">
        <f t="shared" si="2"/>
        <v>1.075</v>
      </c>
      <c r="J28" s="50">
        <v>21.5</v>
      </c>
      <c r="K28" s="41">
        <v>21.5</v>
      </c>
      <c r="M28" s="50">
        <v>21.5</v>
      </c>
      <c r="N28" s="41">
        <v>21.5</v>
      </c>
    </row>
    <row r="29" spans="1:14" x14ac:dyDescent="0.25">
      <c r="A29" s="254" t="s">
        <v>137</v>
      </c>
      <c r="B29" s="50">
        <v>19</v>
      </c>
      <c r="C29" s="13" t="s">
        <v>594</v>
      </c>
      <c r="D29" s="13">
        <v>1</v>
      </c>
      <c r="E29" s="148"/>
      <c r="F29" s="43"/>
      <c r="G29" s="23">
        <f t="shared" si="1"/>
        <v>19</v>
      </c>
      <c r="H29" s="286">
        <f t="shared" si="2"/>
        <v>19</v>
      </c>
      <c r="J29" s="50">
        <v>19</v>
      </c>
      <c r="K29" s="41">
        <v>19</v>
      </c>
      <c r="M29" s="50">
        <v>19</v>
      </c>
      <c r="N29" s="41">
        <v>19</v>
      </c>
    </row>
    <row r="30" spans="1:14" x14ac:dyDescent="0.25">
      <c r="A30" s="254" t="s">
        <v>595</v>
      </c>
      <c r="B30" s="50">
        <v>1250</v>
      </c>
      <c r="C30" s="13" t="s">
        <v>578</v>
      </c>
      <c r="D30" s="13">
        <v>1000</v>
      </c>
      <c r="E30" s="148">
        <v>0</v>
      </c>
      <c r="F30" s="43">
        <f t="shared" ref="F30:F38" si="3">B30*E30</f>
        <v>0</v>
      </c>
      <c r="G30" s="23">
        <f t="shared" si="1"/>
        <v>1250</v>
      </c>
      <c r="H30" s="286">
        <f t="shared" si="2"/>
        <v>1.25</v>
      </c>
      <c r="J30" s="50">
        <v>1250</v>
      </c>
      <c r="K30" s="41">
        <v>1250</v>
      </c>
      <c r="M30" s="50">
        <v>1250</v>
      </c>
      <c r="N30" s="41">
        <v>1250</v>
      </c>
    </row>
    <row r="31" spans="1:14" x14ac:dyDescent="0.25">
      <c r="A31" s="254" t="s">
        <v>537</v>
      </c>
      <c r="B31" s="50">
        <v>740</v>
      </c>
      <c r="C31" s="13" t="s">
        <v>578</v>
      </c>
      <c r="D31" s="13">
        <v>1000</v>
      </c>
      <c r="E31" s="148">
        <v>0.05</v>
      </c>
      <c r="F31" s="43">
        <f t="shared" si="3"/>
        <v>37</v>
      </c>
      <c r="G31" s="23">
        <f t="shared" si="1"/>
        <v>777</v>
      </c>
      <c r="H31" s="286">
        <f t="shared" si="2"/>
        <v>0.77700000000000002</v>
      </c>
      <c r="J31" s="50">
        <v>740</v>
      </c>
      <c r="K31" s="41">
        <v>650</v>
      </c>
      <c r="M31" s="50">
        <v>740</v>
      </c>
      <c r="N31" s="41">
        <v>765</v>
      </c>
    </row>
    <row r="32" spans="1:14" x14ac:dyDescent="0.25">
      <c r="A32" s="254" t="s">
        <v>149</v>
      </c>
      <c r="B32" s="50">
        <v>365</v>
      </c>
      <c r="C32" s="13" t="s">
        <v>578</v>
      </c>
      <c r="D32" s="13">
        <v>1000</v>
      </c>
      <c r="E32" s="148">
        <v>0.05</v>
      </c>
      <c r="F32" s="43">
        <f t="shared" si="3"/>
        <v>18.25</v>
      </c>
      <c r="G32" s="23">
        <f t="shared" si="1"/>
        <v>383.25</v>
      </c>
      <c r="H32" s="286">
        <f t="shared" si="2"/>
        <v>0.38324999999999998</v>
      </c>
      <c r="J32" s="50">
        <v>365</v>
      </c>
      <c r="K32" s="41">
        <v>365</v>
      </c>
      <c r="M32" s="50">
        <v>365</v>
      </c>
      <c r="N32" s="41">
        <v>365</v>
      </c>
    </row>
    <row r="33" spans="1:14" x14ac:dyDescent="0.25">
      <c r="A33" s="254" t="s">
        <v>298</v>
      </c>
      <c r="B33" s="50">
        <v>880</v>
      </c>
      <c r="C33" s="13" t="s">
        <v>578</v>
      </c>
      <c r="D33" s="13">
        <v>1000</v>
      </c>
      <c r="E33" s="148">
        <v>0</v>
      </c>
      <c r="F33" s="43">
        <f t="shared" si="3"/>
        <v>0</v>
      </c>
      <c r="G33" s="23">
        <f t="shared" si="1"/>
        <v>880</v>
      </c>
      <c r="H33" s="286">
        <f t="shared" si="2"/>
        <v>0.88</v>
      </c>
      <c r="J33" s="50">
        <v>880</v>
      </c>
      <c r="K33" s="41">
        <v>880</v>
      </c>
      <c r="M33" s="50">
        <v>880</v>
      </c>
      <c r="N33" s="41">
        <v>880</v>
      </c>
    </row>
    <row r="34" spans="1:14" x14ac:dyDescent="0.25">
      <c r="A34" s="254" t="s">
        <v>596</v>
      </c>
      <c r="B34" s="50">
        <v>605</v>
      </c>
      <c r="C34" s="13" t="s">
        <v>578</v>
      </c>
      <c r="D34" s="13">
        <f>1000</f>
        <v>1000</v>
      </c>
      <c r="E34" s="148">
        <v>0</v>
      </c>
      <c r="F34" s="43">
        <f t="shared" si="3"/>
        <v>0</v>
      </c>
      <c r="G34" s="23">
        <f t="shared" si="1"/>
        <v>605</v>
      </c>
      <c r="H34" s="286">
        <f>G34/D34*1.35</f>
        <v>0.81674999999999998</v>
      </c>
      <c r="J34" s="50">
        <v>605</v>
      </c>
      <c r="K34" s="41">
        <v>615</v>
      </c>
      <c r="M34" s="50">
        <v>605</v>
      </c>
      <c r="N34" s="41">
        <v>615</v>
      </c>
    </row>
    <row r="35" spans="1:14" x14ac:dyDescent="0.25">
      <c r="A35" s="254" t="s">
        <v>597</v>
      </c>
      <c r="B35" s="50">
        <v>255</v>
      </c>
      <c r="C35" s="13" t="s">
        <v>598</v>
      </c>
      <c r="D35" s="13">
        <v>25</v>
      </c>
      <c r="E35" s="148">
        <v>0</v>
      </c>
      <c r="F35" s="43">
        <f t="shared" si="3"/>
        <v>0</v>
      </c>
      <c r="G35" s="23">
        <f t="shared" ref="G35:G67" si="4">F35+B35</f>
        <v>255</v>
      </c>
      <c r="H35" s="286">
        <f t="shared" ref="H35:H67" si="5">G35/D35</f>
        <v>10.199999999999999</v>
      </c>
      <c r="J35" s="50">
        <v>255</v>
      </c>
      <c r="K35" s="41">
        <v>255</v>
      </c>
      <c r="M35" s="50">
        <v>255</v>
      </c>
      <c r="N35" s="41">
        <v>255</v>
      </c>
    </row>
    <row r="36" spans="1:14" x14ac:dyDescent="0.25">
      <c r="A36" s="254" t="s">
        <v>166</v>
      </c>
      <c r="B36" s="50">
        <v>1575</v>
      </c>
      <c r="C36" s="13" t="s">
        <v>578</v>
      </c>
      <c r="D36" s="13">
        <v>1000</v>
      </c>
      <c r="E36" s="149">
        <v>5.0000000000000001E-3</v>
      </c>
      <c r="F36" s="43">
        <f t="shared" si="3"/>
        <v>7.875</v>
      </c>
      <c r="G36" s="23">
        <f t="shared" si="4"/>
        <v>1582.875</v>
      </c>
      <c r="H36" s="286">
        <f t="shared" si="5"/>
        <v>1.582875</v>
      </c>
      <c r="J36" s="50">
        <v>1575</v>
      </c>
      <c r="K36" s="41">
        <v>1575</v>
      </c>
      <c r="M36" s="50">
        <v>1575</v>
      </c>
      <c r="N36" s="41">
        <v>1550</v>
      </c>
    </row>
    <row r="37" spans="1:14" x14ac:dyDescent="0.25">
      <c r="A37" s="254" t="s">
        <v>49</v>
      </c>
      <c r="B37" s="50">
        <v>16</v>
      </c>
      <c r="C37" s="13" t="s">
        <v>581</v>
      </c>
      <c r="D37" s="13">
        <v>20</v>
      </c>
      <c r="E37" s="148">
        <v>0</v>
      </c>
      <c r="F37" s="43">
        <f t="shared" si="3"/>
        <v>0</v>
      </c>
      <c r="G37" s="23">
        <f t="shared" si="4"/>
        <v>16</v>
      </c>
      <c r="H37" s="286">
        <f t="shared" si="5"/>
        <v>0.8</v>
      </c>
      <c r="J37" s="50">
        <v>16</v>
      </c>
      <c r="K37" s="41">
        <v>16</v>
      </c>
      <c r="M37" s="50">
        <v>16</v>
      </c>
      <c r="N37" s="41">
        <v>16</v>
      </c>
    </row>
    <row r="38" spans="1:14" x14ac:dyDescent="0.25">
      <c r="A38" s="254" t="s">
        <v>131</v>
      </c>
      <c r="B38" s="50">
        <v>15</v>
      </c>
      <c r="C38" s="13" t="s">
        <v>594</v>
      </c>
      <c r="D38" s="13">
        <v>1</v>
      </c>
      <c r="E38" s="148">
        <v>0.01</v>
      </c>
      <c r="F38" s="43">
        <f t="shared" si="3"/>
        <v>0.15</v>
      </c>
      <c r="G38" s="23">
        <f t="shared" si="4"/>
        <v>15.15</v>
      </c>
      <c r="H38" s="286">
        <f t="shared" si="5"/>
        <v>15.15</v>
      </c>
      <c r="J38" s="50">
        <v>15</v>
      </c>
      <c r="K38" s="41">
        <v>15</v>
      </c>
      <c r="M38" s="50">
        <v>15</v>
      </c>
      <c r="N38" s="41">
        <v>15</v>
      </c>
    </row>
    <row r="39" spans="1:14" x14ac:dyDescent="0.25">
      <c r="A39" s="254" t="s">
        <v>538</v>
      </c>
      <c r="B39" s="50">
        <v>480</v>
      </c>
      <c r="C39" s="13" t="s">
        <v>578</v>
      </c>
      <c r="D39" s="13">
        <v>1000</v>
      </c>
      <c r="E39" s="148">
        <v>0.05</v>
      </c>
      <c r="F39" s="43">
        <f>B39*E39</f>
        <v>24</v>
      </c>
      <c r="G39" s="23">
        <f t="shared" si="4"/>
        <v>504</v>
      </c>
      <c r="H39" s="286">
        <f t="shared" si="5"/>
        <v>0.504</v>
      </c>
      <c r="J39" s="50">
        <v>520</v>
      </c>
      <c r="K39" s="41">
        <v>480</v>
      </c>
      <c r="M39" s="50">
        <v>480</v>
      </c>
      <c r="N39" s="41">
        <v>480</v>
      </c>
    </row>
    <row r="40" spans="1:14" x14ac:dyDescent="0.25">
      <c r="A40" s="254" t="s">
        <v>599</v>
      </c>
      <c r="B40" s="50">
        <v>480</v>
      </c>
      <c r="C40" s="13" t="s">
        <v>578</v>
      </c>
      <c r="D40" s="13">
        <v>1000</v>
      </c>
      <c r="E40" s="148"/>
      <c r="F40" s="43">
        <f>B40*E40</f>
        <v>0</v>
      </c>
      <c r="G40" s="23">
        <f t="shared" ref="G40" si="6">F40+B40</f>
        <v>480</v>
      </c>
      <c r="H40" s="286">
        <f t="shared" ref="H40" si="7">G40/D40</f>
        <v>0.48</v>
      </c>
      <c r="J40" s="50">
        <v>480</v>
      </c>
      <c r="K40" s="41">
        <v>480</v>
      </c>
      <c r="M40" s="50">
        <v>480</v>
      </c>
      <c r="N40" s="41">
        <v>480</v>
      </c>
    </row>
    <row r="41" spans="1:14" x14ac:dyDescent="0.25">
      <c r="A41" s="254" t="s">
        <v>539</v>
      </c>
      <c r="B41" s="50">
        <v>1080</v>
      </c>
      <c r="C41" s="13" t="s">
        <v>578</v>
      </c>
      <c r="D41" s="13">
        <v>1000</v>
      </c>
      <c r="E41" s="148">
        <v>0.05</v>
      </c>
      <c r="F41" s="43">
        <f>B41*E41</f>
        <v>54</v>
      </c>
      <c r="G41" s="23">
        <f t="shared" si="4"/>
        <v>1134</v>
      </c>
      <c r="H41" s="286">
        <f t="shared" si="5"/>
        <v>1.1339999999999999</v>
      </c>
      <c r="J41" s="50">
        <v>1080</v>
      </c>
      <c r="K41" s="41">
        <v>1080</v>
      </c>
      <c r="M41" s="50">
        <v>1080</v>
      </c>
      <c r="N41" s="41">
        <v>1100</v>
      </c>
    </row>
    <row r="42" spans="1:14" x14ac:dyDescent="0.25">
      <c r="A42" s="254" t="s">
        <v>74</v>
      </c>
      <c r="B42" s="50">
        <v>9</v>
      </c>
      <c r="C42" s="13" t="s">
        <v>594</v>
      </c>
      <c r="D42" s="13">
        <v>1</v>
      </c>
      <c r="E42" s="148"/>
      <c r="F42" s="43"/>
      <c r="G42" s="23">
        <f t="shared" si="4"/>
        <v>9</v>
      </c>
      <c r="H42" s="286">
        <f t="shared" si="5"/>
        <v>9</v>
      </c>
      <c r="J42" s="50">
        <v>9</v>
      </c>
      <c r="K42" s="41">
        <v>9</v>
      </c>
      <c r="M42" s="50">
        <v>9</v>
      </c>
      <c r="N42" s="41">
        <v>9</v>
      </c>
    </row>
    <row r="43" spans="1:14" x14ac:dyDescent="0.25">
      <c r="A43" s="254" t="s">
        <v>28</v>
      </c>
      <c r="B43" s="50">
        <v>695</v>
      </c>
      <c r="C43" s="13" t="s">
        <v>578</v>
      </c>
      <c r="D43" s="13">
        <v>1000</v>
      </c>
      <c r="E43" s="149">
        <v>5.0000000000000001E-3</v>
      </c>
      <c r="F43" s="43">
        <f>B43*E43</f>
        <v>3.4750000000000001</v>
      </c>
      <c r="G43" s="23">
        <f t="shared" si="4"/>
        <v>698.47500000000002</v>
      </c>
      <c r="H43" s="286">
        <f t="shared" si="5"/>
        <v>0.69847500000000007</v>
      </c>
      <c r="J43" s="50">
        <v>655</v>
      </c>
      <c r="K43" s="41">
        <v>610</v>
      </c>
      <c r="M43" s="50">
        <v>695</v>
      </c>
      <c r="N43" s="41">
        <v>610</v>
      </c>
    </row>
    <row r="44" spans="1:14" x14ac:dyDescent="0.25">
      <c r="A44" s="254" t="s">
        <v>98</v>
      </c>
      <c r="B44" s="50">
        <v>18</v>
      </c>
      <c r="C44" s="13" t="s">
        <v>581</v>
      </c>
      <c r="D44" s="13">
        <v>20</v>
      </c>
      <c r="E44" s="148"/>
      <c r="F44" s="43"/>
      <c r="G44" s="23">
        <f t="shared" si="4"/>
        <v>18</v>
      </c>
      <c r="H44" s="286">
        <f t="shared" si="5"/>
        <v>0.9</v>
      </c>
      <c r="J44" s="50">
        <v>18</v>
      </c>
      <c r="K44" s="41">
        <v>18</v>
      </c>
      <c r="M44" s="50">
        <v>18</v>
      </c>
      <c r="N44" s="41">
        <v>18</v>
      </c>
    </row>
    <row r="45" spans="1:14" x14ac:dyDescent="0.25">
      <c r="A45" s="254" t="s">
        <v>233</v>
      </c>
      <c r="B45" s="50">
        <v>1580</v>
      </c>
      <c r="C45" s="13" t="s">
        <v>578</v>
      </c>
      <c r="D45" s="13">
        <v>1000</v>
      </c>
      <c r="E45" s="148">
        <v>0.05</v>
      </c>
      <c r="F45" s="43">
        <f t="shared" ref="F45:F51" si="8">B45*E45</f>
        <v>79</v>
      </c>
      <c r="G45" s="23">
        <f t="shared" si="4"/>
        <v>1659</v>
      </c>
      <c r="H45" s="286">
        <f t="shared" si="5"/>
        <v>1.659</v>
      </c>
      <c r="J45" s="50">
        <v>1580</v>
      </c>
      <c r="K45" s="41">
        <v>1425</v>
      </c>
      <c r="M45" s="50">
        <v>1580</v>
      </c>
      <c r="N45" s="41">
        <v>1425</v>
      </c>
    </row>
    <row r="46" spans="1:14" x14ac:dyDescent="0.25">
      <c r="A46" s="254" t="s">
        <v>600</v>
      </c>
      <c r="B46" s="50">
        <v>18.5</v>
      </c>
      <c r="C46" s="13" t="s">
        <v>581</v>
      </c>
      <c r="D46" s="13">
        <v>20</v>
      </c>
      <c r="E46" s="148">
        <v>0</v>
      </c>
      <c r="F46" s="43">
        <f t="shared" si="8"/>
        <v>0</v>
      </c>
      <c r="G46" s="23">
        <f t="shared" si="4"/>
        <v>18.5</v>
      </c>
      <c r="H46" s="286">
        <f t="shared" si="5"/>
        <v>0.92500000000000004</v>
      </c>
      <c r="J46" s="50">
        <v>18.5</v>
      </c>
      <c r="K46" s="41">
        <v>18.5</v>
      </c>
      <c r="M46" s="50">
        <v>18.5</v>
      </c>
      <c r="N46" s="41">
        <v>18.5</v>
      </c>
    </row>
    <row r="47" spans="1:14" x14ac:dyDescent="0.25">
      <c r="A47" s="254" t="s">
        <v>152</v>
      </c>
      <c r="B47" s="50">
        <v>840</v>
      </c>
      <c r="C47" s="13" t="s">
        <v>578</v>
      </c>
      <c r="D47" s="13">
        <v>1000</v>
      </c>
      <c r="E47" s="148">
        <v>0.05</v>
      </c>
      <c r="F47" s="43">
        <f t="shared" si="8"/>
        <v>42</v>
      </c>
      <c r="G47" s="23">
        <f t="shared" si="4"/>
        <v>882</v>
      </c>
      <c r="H47" s="286">
        <f t="shared" si="5"/>
        <v>0.88200000000000001</v>
      </c>
      <c r="J47" s="50">
        <v>840</v>
      </c>
      <c r="K47" s="41">
        <v>725</v>
      </c>
      <c r="M47" s="50">
        <v>840</v>
      </c>
      <c r="N47" s="41">
        <v>725</v>
      </c>
    </row>
    <row r="48" spans="1:14" x14ac:dyDescent="0.25">
      <c r="A48" s="254" t="s">
        <v>601</v>
      </c>
      <c r="B48" s="50">
        <v>9500</v>
      </c>
      <c r="C48" s="13" t="s">
        <v>581</v>
      </c>
      <c r="D48" s="13">
        <v>20</v>
      </c>
      <c r="E48" s="148">
        <v>0</v>
      </c>
      <c r="F48" s="43">
        <f t="shared" si="8"/>
        <v>0</v>
      </c>
      <c r="G48" s="23">
        <f t="shared" si="4"/>
        <v>9500</v>
      </c>
      <c r="H48" s="286">
        <f t="shared" si="5"/>
        <v>475</v>
      </c>
      <c r="J48" s="50">
        <v>9500</v>
      </c>
      <c r="K48" s="41">
        <v>9500</v>
      </c>
      <c r="M48" s="50">
        <v>9500</v>
      </c>
      <c r="N48" s="41">
        <v>9500</v>
      </c>
    </row>
    <row r="49" spans="1:14" x14ac:dyDescent="0.25">
      <c r="A49" s="254" t="s">
        <v>602</v>
      </c>
      <c r="B49" s="50">
        <v>97</v>
      </c>
      <c r="C49" s="13" t="s">
        <v>603</v>
      </c>
      <c r="D49" s="13">
        <v>4</v>
      </c>
      <c r="E49" s="148">
        <v>0</v>
      </c>
      <c r="F49" s="43">
        <f t="shared" si="8"/>
        <v>0</v>
      </c>
      <c r="G49" s="23">
        <f t="shared" si="4"/>
        <v>97</v>
      </c>
      <c r="H49" s="286">
        <f t="shared" si="5"/>
        <v>24.25</v>
      </c>
      <c r="J49" s="50">
        <v>97</v>
      </c>
      <c r="K49" s="41">
        <v>97</v>
      </c>
      <c r="M49" s="50">
        <v>97</v>
      </c>
      <c r="N49" s="41">
        <v>48</v>
      </c>
    </row>
    <row r="50" spans="1:14" x14ac:dyDescent="0.25">
      <c r="A50" s="254" t="s">
        <v>604</v>
      </c>
      <c r="B50" s="50">
        <v>23.95</v>
      </c>
      <c r="C50" s="13" t="s">
        <v>581</v>
      </c>
      <c r="D50" s="13">
        <v>20</v>
      </c>
      <c r="E50" s="148">
        <v>0</v>
      </c>
      <c r="F50" s="43">
        <f t="shared" si="8"/>
        <v>0</v>
      </c>
      <c r="G50" s="23">
        <f t="shared" si="4"/>
        <v>23.95</v>
      </c>
      <c r="H50" s="286">
        <f t="shared" si="5"/>
        <v>1.1975</v>
      </c>
      <c r="J50" s="50">
        <v>23.95</v>
      </c>
      <c r="K50" s="41">
        <v>23.95</v>
      </c>
      <c r="M50" s="50">
        <v>23.95</v>
      </c>
      <c r="N50" s="41">
        <v>23.95</v>
      </c>
    </row>
    <row r="51" spans="1:14" x14ac:dyDescent="0.25">
      <c r="A51" s="254" t="s">
        <v>605</v>
      </c>
      <c r="B51" s="50">
        <v>90</v>
      </c>
      <c r="C51" s="13" t="s">
        <v>606</v>
      </c>
      <c r="D51" s="13">
        <v>15</v>
      </c>
      <c r="E51" s="148">
        <v>0</v>
      </c>
      <c r="F51" s="43">
        <f t="shared" si="8"/>
        <v>0</v>
      </c>
      <c r="G51" s="23">
        <f t="shared" si="4"/>
        <v>90</v>
      </c>
      <c r="H51" s="286">
        <f t="shared" si="5"/>
        <v>6</v>
      </c>
      <c r="J51" s="50">
        <v>90</v>
      </c>
      <c r="K51" s="41">
        <v>90</v>
      </c>
      <c r="M51" s="50">
        <v>90</v>
      </c>
      <c r="N51" s="41">
        <v>68.099999999999994</v>
      </c>
    </row>
    <row r="52" spans="1:14" x14ac:dyDescent="0.25">
      <c r="A52" s="254" t="s">
        <v>64</v>
      </c>
      <c r="B52" s="50">
        <v>51</v>
      </c>
      <c r="C52" s="13" t="s">
        <v>594</v>
      </c>
      <c r="D52" s="13">
        <v>1</v>
      </c>
      <c r="E52" s="148"/>
      <c r="F52" s="43"/>
      <c r="G52" s="23">
        <f t="shared" si="4"/>
        <v>51</v>
      </c>
      <c r="H52" s="286">
        <f t="shared" si="5"/>
        <v>51</v>
      </c>
      <c r="J52" s="50">
        <v>51</v>
      </c>
      <c r="K52" s="41">
        <v>51</v>
      </c>
      <c r="M52" s="50">
        <v>51</v>
      </c>
      <c r="N52" s="41">
        <v>51</v>
      </c>
    </row>
    <row r="53" spans="1:14" x14ac:dyDescent="0.25">
      <c r="A53" s="254" t="s">
        <v>33</v>
      </c>
      <c r="B53" s="50">
        <v>1110</v>
      </c>
      <c r="C53" s="13" t="s">
        <v>578</v>
      </c>
      <c r="D53" s="13">
        <v>1000</v>
      </c>
      <c r="E53" s="148">
        <v>0.05</v>
      </c>
      <c r="F53" s="43">
        <f t="shared" ref="F53:F61" si="9">B53*E53</f>
        <v>55.5</v>
      </c>
      <c r="G53" s="23">
        <f t="shared" si="4"/>
        <v>1165.5</v>
      </c>
      <c r="H53" s="286">
        <f t="shared" si="5"/>
        <v>1.1655</v>
      </c>
      <c r="J53" s="50">
        <v>1110</v>
      </c>
      <c r="K53" s="41">
        <v>900</v>
      </c>
      <c r="M53" s="50">
        <v>1110</v>
      </c>
      <c r="N53" s="41">
        <v>900</v>
      </c>
    </row>
    <row r="54" spans="1:14" x14ac:dyDescent="0.25">
      <c r="A54" s="254" t="s">
        <v>607</v>
      </c>
      <c r="B54" s="50">
        <v>12.9</v>
      </c>
      <c r="C54" s="13" t="s">
        <v>581</v>
      </c>
      <c r="D54" s="13">
        <v>20</v>
      </c>
      <c r="E54" s="148">
        <v>0</v>
      </c>
      <c r="F54" s="43">
        <f t="shared" si="9"/>
        <v>0</v>
      </c>
      <c r="G54" s="23">
        <f t="shared" si="4"/>
        <v>12.9</v>
      </c>
      <c r="H54" s="286">
        <f t="shared" si="5"/>
        <v>0.64500000000000002</v>
      </c>
      <c r="J54" s="50">
        <v>12.9</v>
      </c>
      <c r="K54" s="41">
        <v>12.9</v>
      </c>
      <c r="M54" s="50">
        <v>12.9</v>
      </c>
      <c r="N54" s="41">
        <v>12.9</v>
      </c>
    </row>
    <row r="55" spans="1:14" x14ac:dyDescent="0.25">
      <c r="A55" s="254" t="s">
        <v>36</v>
      </c>
      <c r="B55" s="50">
        <v>455</v>
      </c>
      <c r="C55" s="13" t="s">
        <v>578</v>
      </c>
      <c r="D55" s="13">
        <v>1000</v>
      </c>
      <c r="E55" s="148">
        <v>0.05</v>
      </c>
      <c r="F55" s="43">
        <f t="shared" si="9"/>
        <v>22.75</v>
      </c>
      <c r="G55" s="23">
        <f t="shared" si="4"/>
        <v>477.75</v>
      </c>
      <c r="H55" s="286">
        <f t="shared" si="5"/>
        <v>0.47775000000000001</v>
      </c>
      <c r="J55" s="50">
        <v>410</v>
      </c>
      <c r="K55" s="41">
        <v>400</v>
      </c>
      <c r="M55" s="50">
        <v>410</v>
      </c>
      <c r="N55" s="41">
        <v>400</v>
      </c>
    </row>
    <row r="56" spans="1:14" x14ac:dyDescent="0.25">
      <c r="A56" s="254" t="s">
        <v>540</v>
      </c>
      <c r="B56" s="50">
        <v>603</v>
      </c>
      <c r="C56" s="13" t="s">
        <v>578</v>
      </c>
      <c r="D56" s="13">
        <v>1000</v>
      </c>
      <c r="E56" s="148">
        <v>0</v>
      </c>
      <c r="F56" s="43">
        <f t="shared" si="9"/>
        <v>0</v>
      </c>
      <c r="G56" s="23">
        <f t="shared" si="4"/>
        <v>603</v>
      </c>
      <c r="H56" s="286">
        <f t="shared" si="5"/>
        <v>0.60299999999999998</v>
      </c>
      <c r="J56" s="50">
        <v>603</v>
      </c>
      <c r="K56" s="41">
        <v>603</v>
      </c>
      <c r="M56" s="50">
        <v>603</v>
      </c>
      <c r="N56" s="41">
        <v>568</v>
      </c>
    </row>
    <row r="57" spans="1:14" x14ac:dyDescent="0.25">
      <c r="A57" s="254" t="s">
        <v>608</v>
      </c>
      <c r="B57" s="50">
        <v>1092</v>
      </c>
      <c r="C57" s="13" t="s">
        <v>578</v>
      </c>
      <c r="D57" s="13">
        <v>1000</v>
      </c>
      <c r="E57" s="148">
        <v>0</v>
      </c>
      <c r="F57" s="43">
        <f t="shared" si="9"/>
        <v>0</v>
      </c>
      <c r="G57" s="23">
        <f t="shared" si="4"/>
        <v>1092</v>
      </c>
      <c r="H57" s="286">
        <f t="shared" si="5"/>
        <v>1.0920000000000001</v>
      </c>
      <c r="J57" s="50">
        <v>1092</v>
      </c>
      <c r="K57" s="41">
        <v>1092</v>
      </c>
      <c r="M57" s="50">
        <v>1092</v>
      </c>
      <c r="N57" s="41">
        <v>1020</v>
      </c>
    </row>
    <row r="58" spans="1:14" x14ac:dyDescent="0.25">
      <c r="A58" s="254" t="s">
        <v>609</v>
      </c>
      <c r="B58" s="50">
        <v>860</v>
      </c>
      <c r="C58" s="13" t="s">
        <v>578</v>
      </c>
      <c r="D58" s="13">
        <v>1000</v>
      </c>
      <c r="E58" s="148">
        <v>0</v>
      </c>
      <c r="F58" s="43">
        <f t="shared" si="9"/>
        <v>0</v>
      </c>
      <c r="G58" s="23">
        <f t="shared" si="4"/>
        <v>860</v>
      </c>
      <c r="H58" s="286">
        <f t="shared" si="5"/>
        <v>0.86</v>
      </c>
      <c r="J58" s="50">
        <v>860</v>
      </c>
      <c r="K58" s="41">
        <v>860</v>
      </c>
      <c r="M58" s="50">
        <v>860</v>
      </c>
      <c r="N58" s="41">
        <v>790</v>
      </c>
    </row>
    <row r="59" spans="1:14" x14ac:dyDescent="0.25">
      <c r="A59" s="254" t="s">
        <v>541</v>
      </c>
      <c r="B59" s="50">
        <v>863</v>
      </c>
      <c r="C59" s="13" t="s">
        <v>578</v>
      </c>
      <c r="D59" s="13">
        <v>1000</v>
      </c>
      <c r="E59" s="148">
        <v>0</v>
      </c>
      <c r="F59" s="43">
        <f t="shared" si="9"/>
        <v>0</v>
      </c>
      <c r="G59" s="23">
        <f t="shared" si="4"/>
        <v>863</v>
      </c>
      <c r="H59" s="286">
        <f t="shared" si="5"/>
        <v>0.86299999999999999</v>
      </c>
      <c r="J59" s="50">
        <v>863</v>
      </c>
      <c r="K59" s="41">
        <v>863</v>
      </c>
      <c r="M59" s="50">
        <v>863</v>
      </c>
      <c r="N59" s="41">
        <v>863</v>
      </c>
    </row>
    <row r="60" spans="1:14" x14ac:dyDescent="0.25">
      <c r="A60" s="254" t="s">
        <v>610</v>
      </c>
      <c r="B60" s="50">
        <v>1189</v>
      </c>
      <c r="C60" s="13" t="s">
        <v>578</v>
      </c>
      <c r="D60" s="13">
        <v>1000</v>
      </c>
      <c r="E60" s="148">
        <v>0</v>
      </c>
      <c r="F60" s="43">
        <f t="shared" si="9"/>
        <v>0</v>
      </c>
      <c r="G60" s="23">
        <f t="shared" si="4"/>
        <v>1189</v>
      </c>
      <c r="H60" s="286">
        <f t="shared" si="5"/>
        <v>1.1890000000000001</v>
      </c>
      <c r="J60" s="50">
        <v>1189</v>
      </c>
      <c r="K60" s="41">
        <v>1189</v>
      </c>
      <c r="M60" s="50">
        <v>1189</v>
      </c>
      <c r="N60" s="41">
        <v>1189</v>
      </c>
    </row>
    <row r="61" spans="1:14" x14ac:dyDescent="0.25">
      <c r="A61" s="254" t="s">
        <v>611</v>
      </c>
      <c r="B61" s="50">
        <v>32.9</v>
      </c>
      <c r="C61" s="45" t="s">
        <v>581</v>
      </c>
      <c r="D61" s="13">
        <v>20</v>
      </c>
      <c r="E61" s="148">
        <v>0</v>
      </c>
      <c r="F61" s="43">
        <f t="shared" si="9"/>
        <v>0</v>
      </c>
      <c r="G61" s="23">
        <f t="shared" si="4"/>
        <v>32.9</v>
      </c>
      <c r="H61" s="286">
        <f t="shared" si="5"/>
        <v>1.645</v>
      </c>
      <c r="J61" s="50">
        <v>32.9</v>
      </c>
      <c r="K61" s="41">
        <v>32.9</v>
      </c>
      <c r="M61" s="50">
        <v>32.9</v>
      </c>
      <c r="N61" s="41">
        <v>34</v>
      </c>
    </row>
    <row r="62" spans="1:14" x14ac:dyDescent="0.25">
      <c r="A62" s="254" t="s">
        <v>140</v>
      </c>
      <c r="B62" s="50">
        <v>19</v>
      </c>
      <c r="C62" s="13" t="s">
        <v>594</v>
      </c>
      <c r="D62" s="13">
        <v>1</v>
      </c>
      <c r="E62" s="148"/>
      <c r="F62" s="43"/>
      <c r="G62" s="23">
        <f t="shared" si="4"/>
        <v>19</v>
      </c>
      <c r="H62" s="286">
        <f t="shared" si="5"/>
        <v>19</v>
      </c>
      <c r="J62" s="50">
        <v>19</v>
      </c>
      <c r="K62" s="41">
        <v>19</v>
      </c>
      <c r="M62" s="50">
        <v>19</v>
      </c>
      <c r="N62" s="41">
        <v>19</v>
      </c>
    </row>
    <row r="63" spans="1:14" x14ac:dyDescent="0.25">
      <c r="A63" s="254" t="s">
        <v>612</v>
      </c>
      <c r="B63" s="50">
        <v>215</v>
      </c>
      <c r="C63" s="45" t="s">
        <v>613</v>
      </c>
      <c r="D63" s="13">
        <v>18</v>
      </c>
      <c r="E63" s="148">
        <v>0</v>
      </c>
      <c r="F63" s="43">
        <f>B63*E63</f>
        <v>0</v>
      </c>
      <c r="G63" s="23">
        <f t="shared" si="4"/>
        <v>215</v>
      </c>
      <c r="H63" s="286">
        <f t="shared" si="5"/>
        <v>11.944444444444445</v>
      </c>
      <c r="J63" s="50">
        <v>215</v>
      </c>
      <c r="K63" s="41">
        <v>215</v>
      </c>
      <c r="M63" s="50">
        <v>215</v>
      </c>
      <c r="N63" s="41">
        <v>215</v>
      </c>
    </row>
    <row r="64" spans="1:14" x14ac:dyDescent="0.25">
      <c r="A64" s="254" t="s">
        <v>38</v>
      </c>
      <c r="B64" s="50">
        <v>580</v>
      </c>
      <c r="C64" s="13" t="s">
        <v>578</v>
      </c>
      <c r="D64" s="13">
        <v>1000</v>
      </c>
      <c r="E64" s="148">
        <v>0.02</v>
      </c>
      <c r="F64" s="43">
        <f>B64*E64</f>
        <v>11.6</v>
      </c>
      <c r="G64" s="23">
        <f t="shared" si="4"/>
        <v>591.6</v>
      </c>
      <c r="H64" s="286">
        <f t="shared" si="5"/>
        <v>0.59160000000000001</v>
      </c>
      <c r="J64" s="50">
        <v>580</v>
      </c>
      <c r="K64" s="41">
        <v>685</v>
      </c>
      <c r="M64" s="50">
        <v>580</v>
      </c>
      <c r="N64" s="41">
        <v>685</v>
      </c>
    </row>
    <row r="65" spans="1:14" x14ac:dyDescent="0.25">
      <c r="A65" s="254" t="s">
        <v>122</v>
      </c>
      <c r="B65" s="50">
        <v>355</v>
      </c>
      <c r="C65" s="13" t="s">
        <v>578</v>
      </c>
      <c r="D65" s="13">
        <v>1000</v>
      </c>
      <c r="E65" s="148">
        <v>0.05</v>
      </c>
      <c r="F65" s="43">
        <f>B65*E65</f>
        <v>17.75</v>
      </c>
      <c r="G65" s="23">
        <f t="shared" si="4"/>
        <v>372.75</v>
      </c>
      <c r="H65" s="286">
        <f t="shared" si="5"/>
        <v>0.37275000000000003</v>
      </c>
      <c r="J65" s="50">
        <v>355</v>
      </c>
      <c r="K65" s="41">
        <v>340</v>
      </c>
      <c r="M65" s="50">
        <v>355</v>
      </c>
      <c r="N65" s="41">
        <v>335</v>
      </c>
    </row>
    <row r="66" spans="1:14" x14ac:dyDescent="0.25">
      <c r="A66" s="254" t="s">
        <v>163</v>
      </c>
      <c r="B66" s="41">
        <v>1000</v>
      </c>
      <c r="C66" s="13" t="s">
        <v>578</v>
      </c>
      <c r="D66" s="13">
        <v>1000</v>
      </c>
      <c r="E66" s="148">
        <v>0.05</v>
      </c>
      <c r="F66" s="43">
        <f>B66*E66</f>
        <v>50</v>
      </c>
      <c r="G66" s="23">
        <f t="shared" si="4"/>
        <v>1050</v>
      </c>
      <c r="H66" s="286">
        <f t="shared" si="5"/>
        <v>1.05</v>
      </c>
      <c r="J66" s="41">
        <v>1000</v>
      </c>
      <c r="K66" s="41">
        <v>910</v>
      </c>
      <c r="M66" s="41">
        <v>1000</v>
      </c>
      <c r="N66" s="41">
        <v>910</v>
      </c>
    </row>
    <row r="67" spans="1:14" x14ac:dyDescent="0.25">
      <c r="A67" s="254" t="s">
        <v>128</v>
      </c>
      <c r="B67" s="41">
        <v>420</v>
      </c>
      <c r="C67" s="13" t="s">
        <v>578</v>
      </c>
      <c r="D67" s="13">
        <v>1000</v>
      </c>
      <c r="E67" s="148">
        <v>0.04</v>
      </c>
      <c r="F67" s="43">
        <f>B67*E67</f>
        <v>16.8</v>
      </c>
      <c r="G67" s="23">
        <f t="shared" si="4"/>
        <v>436.8</v>
      </c>
      <c r="H67" s="286">
        <f t="shared" si="5"/>
        <v>0.43680000000000002</v>
      </c>
      <c r="J67" s="41">
        <v>420</v>
      </c>
      <c r="K67" s="41">
        <v>420</v>
      </c>
      <c r="M67" s="41">
        <v>420</v>
      </c>
      <c r="N67" s="41">
        <v>420</v>
      </c>
    </row>
    <row r="69" spans="1:14" s="72" customFormat="1" ht="14.4" x14ac:dyDescent="0.3"/>
    <row r="70" spans="1:14" x14ac:dyDescent="0.25">
      <c r="A70" s="306" t="s">
        <v>614</v>
      </c>
      <c r="B70" s="307"/>
      <c r="C70" s="307"/>
      <c r="D70" s="307"/>
      <c r="E70" s="307"/>
      <c r="F70" s="307"/>
      <c r="G70" s="307"/>
      <c r="H70" s="308"/>
      <c r="J70" s="1"/>
      <c r="K70" s="1"/>
      <c r="M70" s="1"/>
      <c r="N70" s="1"/>
    </row>
    <row r="71" spans="1:14" ht="13.5" customHeight="1" x14ac:dyDescent="0.25">
      <c r="A71" s="39" t="s">
        <v>230</v>
      </c>
      <c r="B71" s="41" t="s">
        <v>615</v>
      </c>
      <c r="C71" s="13" t="s">
        <v>576</v>
      </c>
      <c r="D71" s="13">
        <v>20</v>
      </c>
      <c r="E71" s="42"/>
      <c r="F71" s="43"/>
      <c r="G71" s="43"/>
      <c r="H71" s="43">
        <f>VLOOKUP(A71,'Product Cost - Price'!$C$5:$O$263,10,FALSE)+VLOOKUP(A71,'Product Cost - Price'!$C$5:$O$263,11,FALSE)+VLOOKUP(A71,'Product Cost - Price'!$C$5:$O$263,12,FALSE)</f>
        <v>0.47824999999999995</v>
      </c>
      <c r="J71" s="41"/>
      <c r="K71" s="41"/>
      <c r="M71" s="41"/>
      <c r="N71" s="41"/>
    </row>
    <row r="72" spans="1:14" x14ac:dyDescent="0.25">
      <c r="A72" s="39" t="s">
        <v>263</v>
      </c>
      <c r="B72" s="41" t="s">
        <v>615</v>
      </c>
      <c r="C72" s="13" t="s">
        <v>576</v>
      </c>
      <c r="D72" s="13">
        <v>20</v>
      </c>
      <c r="E72" s="42"/>
      <c r="F72" s="43"/>
      <c r="G72" s="43"/>
      <c r="H72" s="43">
        <f>VLOOKUP(A72,'Product Cost - Price'!$C$5:$O$263,10,FALSE)+VLOOKUP(A72,'Product Cost - Price'!$C$5:$O$263,11,FALSE)+VLOOKUP(A72,'Product Cost - Price'!$C$5:$O$263,12,FALSE)</f>
        <v>0.87200000000000011</v>
      </c>
      <c r="J72" s="41"/>
      <c r="K72" s="41"/>
      <c r="M72" s="41"/>
      <c r="N72" s="41"/>
    </row>
    <row r="73" spans="1:14" x14ac:dyDescent="0.25">
      <c r="B73" s="1"/>
      <c r="C73" s="1"/>
      <c r="D73" s="1"/>
      <c r="E73" s="1"/>
      <c r="J73" s="1"/>
      <c r="K73" s="1"/>
      <c r="M73" s="1"/>
      <c r="N73" s="1"/>
    </row>
    <row r="74" spans="1:14" x14ac:dyDescent="0.25">
      <c r="B74" s="1"/>
      <c r="C74" s="1"/>
      <c r="D74" s="1"/>
      <c r="E74" s="1"/>
      <c r="J74" s="1"/>
      <c r="K74" s="1"/>
      <c r="M74" s="1"/>
      <c r="N74" s="1"/>
    </row>
    <row r="75" spans="1:14" x14ac:dyDescent="0.25">
      <c r="B75" s="24"/>
      <c r="E75" s="29"/>
      <c r="F75" s="10"/>
      <c r="G75" s="10"/>
      <c r="H75" s="10"/>
      <c r="J75" s="24"/>
      <c r="K75" s="24"/>
      <c r="M75" s="24"/>
      <c r="N75" s="24"/>
    </row>
    <row r="76" spans="1:14" x14ac:dyDescent="0.25">
      <c r="B76" s="24"/>
      <c r="E76" s="29"/>
      <c r="F76" s="10"/>
      <c r="G76" s="10"/>
      <c r="H76" s="10"/>
      <c r="J76" s="24"/>
      <c r="K76" s="24"/>
      <c r="M76" s="24"/>
      <c r="N76" s="24"/>
    </row>
    <row r="77" spans="1:14" x14ac:dyDescent="0.25">
      <c r="A77" s="25" t="s">
        <v>616</v>
      </c>
      <c r="B77" s="26"/>
      <c r="C77" s="26"/>
      <c r="D77" s="26"/>
      <c r="E77" s="26"/>
      <c r="F77" s="25"/>
      <c r="G77" s="26"/>
      <c r="H77" s="26" t="s">
        <v>572</v>
      </c>
      <c r="J77" s="26"/>
      <c r="K77" s="26"/>
      <c r="M77" s="26"/>
      <c r="N77" s="26"/>
    </row>
    <row r="78" spans="1:14" x14ac:dyDescent="0.25">
      <c r="A78" s="17" t="s">
        <v>489</v>
      </c>
      <c r="B78" s="19"/>
      <c r="C78" s="12"/>
      <c r="D78" s="12"/>
      <c r="E78" s="30"/>
      <c r="F78" s="23"/>
      <c r="G78" s="23"/>
      <c r="H78" s="43">
        <v>1.0797432432432432</v>
      </c>
      <c r="J78" s="19"/>
      <c r="K78" s="19"/>
      <c r="M78" s="19"/>
      <c r="N78" s="19"/>
    </row>
    <row r="79" spans="1:14" x14ac:dyDescent="0.25">
      <c r="A79" s="52" t="s">
        <v>446</v>
      </c>
      <c r="B79" s="19"/>
      <c r="C79" s="12"/>
      <c r="D79" s="12"/>
      <c r="E79" s="30"/>
      <c r="F79" s="23"/>
      <c r="G79" s="23"/>
      <c r="H79" s="43">
        <v>1.254904761904762</v>
      </c>
      <c r="J79" s="19"/>
      <c r="K79" s="19"/>
      <c r="M79" s="19"/>
      <c r="N79" s="19"/>
    </row>
    <row r="80" spans="1:14" x14ac:dyDescent="0.25">
      <c r="A80" s="7"/>
      <c r="B80" s="8"/>
      <c r="C80" s="9"/>
      <c r="D80" s="9"/>
      <c r="E80" s="27"/>
      <c r="F80" s="28"/>
      <c r="G80" s="7"/>
      <c r="H80" s="7"/>
      <c r="J80" s="8"/>
      <c r="K80" s="8"/>
      <c r="M80" s="8"/>
      <c r="N80" s="8"/>
    </row>
  </sheetData>
  <mergeCells count="3">
    <mergeCell ref="A70:H70"/>
    <mergeCell ref="J1:K1"/>
    <mergeCell ref="M1:N1"/>
  </mergeCells>
  <conditionalFormatting sqref="K3:K67">
    <cfRule type="cellIs" dxfId="5" priority="9" operator="lessThan">
      <formula>J3</formula>
    </cfRule>
    <cfRule type="cellIs" dxfId="4" priority="10" operator="greaterThan">
      <formula>J3</formula>
    </cfRule>
  </conditionalFormatting>
  <conditionalFormatting sqref="N3:N67">
    <cfRule type="cellIs" dxfId="3" priority="7" operator="lessThan">
      <formula>M3</formula>
    </cfRule>
    <cfRule type="cellIs" dxfId="2" priority="8" operator="greaterThan">
      <formula>M3</formula>
    </cfRule>
  </conditionalFormatting>
  <pageMargins left="0.7" right="0.7" top="0.75" bottom="0.75" header="0.3" footer="0.3"/>
  <pageSetup paperSize="9" orientation="portrait" horizontalDpi="360" verticalDpi="360"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369D-D477-464B-9009-8A01CADB24DE}">
  <sheetPr>
    <tabColor theme="9" tint="0.79998168889431442"/>
  </sheetPr>
  <dimension ref="A1:BS308"/>
  <sheetViews>
    <sheetView tabSelected="1" zoomScale="110" zoomScaleNormal="110" workbookViewId="0">
      <pane xSplit="2" ySplit="1" topLeftCell="AT2" activePane="bottomRight" state="frozen"/>
      <selection pane="topRight" activeCell="C1" sqref="C1"/>
      <selection pane="bottomLeft" activeCell="A2" sqref="A2"/>
      <selection pane="bottomRight" activeCell="D1" sqref="D1:BK1"/>
    </sheetView>
  </sheetViews>
  <sheetFormatPr defaultColWidth="9.109375" defaultRowHeight="13.8" x14ac:dyDescent="0.25"/>
  <cols>
    <col min="1" max="1" width="29" style="1" bestFit="1" customWidth="1"/>
    <col min="2" max="2" width="38.88671875" style="11" bestFit="1" customWidth="1"/>
    <col min="3" max="4" width="11" style="6" customWidth="1"/>
    <col min="5" max="6" width="9.88671875" style="6" bestFit="1" customWidth="1"/>
    <col min="7" max="7" width="16.109375" style="6" customWidth="1"/>
    <col min="8" max="9" width="9.88671875" style="6" bestFit="1" customWidth="1"/>
    <col min="10" max="10" width="10.109375" style="6" bestFit="1" customWidth="1"/>
    <col min="11" max="11" width="10.109375" style="6" customWidth="1"/>
    <col min="12" max="18" width="9.88671875" style="6" bestFit="1" customWidth="1"/>
    <col min="19" max="19" width="10.88671875" style="6" bestFit="1" customWidth="1"/>
    <col min="20" max="36" width="9.88671875" style="6" bestFit="1" customWidth="1"/>
    <col min="37" max="62" width="9.88671875" style="6" customWidth="1"/>
    <col min="63" max="63" width="8.44140625" style="6" bestFit="1" customWidth="1"/>
    <col min="64" max="66" width="9.109375" style="1"/>
    <col min="67" max="67" width="9.5546875" style="1" bestFit="1" customWidth="1"/>
    <col min="68" max="16384" width="9.109375" style="1"/>
  </cols>
  <sheetData>
    <row r="1" spans="1:63" ht="158.25" customHeight="1" x14ac:dyDescent="0.25">
      <c r="A1" s="22" t="s">
        <v>409</v>
      </c>
      <c r="B1" s="32" t="s">
        <v>617</v>
      </c>
      <c r="C1" s="34" t="s">
        <v>618</v>
      </c>
      <c r="D1" s="33" t="s">
        <v>154</v>
      </c>
      <c r="E1" s="33" t="s">
        <v>585</v>
      </c>
      <c r="F1" s="33" t="s">
        <v>157</v>
      </c>
      <c r="G1" s="33" t="s">
        <v>536</v>
      </c>
      <c r="H1" s="33" t="s">
        <v>247</v>
      </c>
      <c r="I1" s="33" t="s">
        <v>160</v>
      </c>
      <c r="J1" s="33" t="s">
        <v>149</v>
      </c>
      <c r="K1" s="33" t="s">
        <v>538</v>
      </c>
      <c r="L1" s="33" t="s">
        <v>599</v>
      </c>
      <c r="M1" s="33" t="s">
        <v>539</v>
      </c>
      <c r="N1" s="33" t="s">
        <v>28</v>
      </c>
      <c r="O1" s="33" t="s">
        <v>233</v>
      </c>
      <c r="P1" s="33" t="s">
        <v>152</v>
      </c>
      <c r="Q1" s="33" t="s">
        <v>33</v>
      </c>
      <c r="R1" s="33" t="s">
        <v>36</v>
      </c>
      <c r="S1" s="33" t="s">
        <v>38</v>
      </c>
      <c r="T1" s="33" t="s">
        <v>122</v>
      </c>
      <c r="U1" s="33" t="s">
        <v>163</v>
      </c>
      <c r="V1" s="33" t="s">
        <v>146</v>
      </c>
      <c r="W1" s="33" t="s">
        <v>169</v>
      </c>
      <c r="X1" s="33" t="s">
        <v>242</v>
      </c>
      <c r="Y1" s="33" t="s">
        <v>166</v>
      </c>
      <c r="Z1" s="33" t="s">
        <v>230</v>
      </c>
      <c r="AA1" s="33" t="s">
        <v>584</v>
      </c>
      <c r="AB1" s="33" t="s">
        <v>263</v>
      </c>
      <c r="AC1" s="33" t="s">
        <v>586</v>
      </c>
      <c r="AD1" s="33" t="s">
        <v>298</v>
      </c>
      <c r="AE1" s="33" t="s">
        <v>596</v>
      </c>
      <c r="AF1" s="33" t="s">
        <v>601</v>
      </c>
      <c r="AG1" s="33" t="s">
        <v>604</v>
      </c>
      <c r="AH1" s="33" t="s">
        <v>607</v>
      </c>
      <c r="AI1" s="33" t="s">
        <v>593</v>
      </c>
      <c r="AJ1" s="33" t="s">
        <v>563</v>
      </c>
      <c r="AK1" s="33" t="s">
        <v>489</v>
      </c>
      <c r="AL1" s="54" t="s">
        <v>592</v>
      </c>
      <c r="AM1" s="54" t="s">
        <v>540</v>
      </c>
      <c r="AN1" s="54" t="s">
        <v>609</v>
      </c>
      <c r="AO1" s="54" t="s">
        <v>608</v>
      </c>
      <c r="AP1" s="283" t="s">
        <v>197</v>
      </c>
      <c r="AQ1" s="283" t="s">
        <v>49</v>
      </c>
      <c r="AR1" s="283" t="s">
        <v>577</v>
      </c>
      <c r="AS1" s="283" t="s">
        <v>582</v>
      </c>
      <c r="AT1" s="283" t="s">
        <v>583</v>
      </c>
      <c r="AU1" s="283" t="s">
        <v>610</v>
      </c>
      <c r="AV1" s="283" t="s">
        <v>611</v>
      </c>
      <c r="AW1" s="283" t="s">
        <v>589</v>
      </c>
      <c r="AX1" s="283" t="s">
        <v>591</v>
      </c>
      <c r="AY1" s="283" t="s">
        <v>590</v>
      </c>
      <c r="AZ1" s="283" t="s">
        <v>595</v>
      </c>
      <c r="BA1" s="283" t="s">
        <v>580</v>
      </c>
      <c r="BB1" s="283" t="s">
        <v>600</v>
      </c>
      <c r="BC1" s="283" t="s">
        <v>602</v>
      </c>
      <c r="BD1" s="283" t="s">
        <v>605</v>
      </c>
      <c r="BE1" s="283" t="s">
        <v>587</v>
      </c>
      <c r="BF1" s="283" t="s">
        <v>575</v>
      </c>
      <c r="BG1" s="283" t="s">
        <v>612</v>
      </c>
      <c r="BH1" s="283" t="s">
        <v>579</v>
      </c>
      <c r="BI1" s="283" t="s">
        <v>597</v>
      </c>
      <c r="BJ1" s="284" t="s">
        <v>537</v>
      </c>
      <c r="BK1" s="54" t="s">
        <v>446</v>
      </c>
    </row>
    <row r="2" spans="1:63" x14ac:dyDescent="0.25">
      <c r="A2" s="35" t="s">
        <v>426</v>
      </c>
      <c r="B2" s="55" t="s">
        <v>452</v>
      </c>
      <c r="C2" s="285">
        <f>SUM(AllMix[[#This Row],[Black Sunflowers]:[Canary Mix]])</f>
        <v>1160</v>
      </c>
      <c r="D2" s="45"/>
      <c r="E2" s="45"/>
      <c r="F2" s="45"/>
      <c r="G2" s="45"/>
      <c r="H2" s="45">
        <v>200</v>
      </c>
      <c r="I2" s="45"/>
      <c r="J2" s="45"/>
      <c r="K2" s="45"/>
      <c r="L2" s="45"/>
      <c r="M2" s="45">
        <v>200</v>
      </c>
      <c r="N2" s="45"/>
      <c r="O2" s="45">
        <v>400</v>
      </c>
      <c r="P2" s="45"/>
      <c r="Q2" s="45"/>
      <c r="R2" s="45"/>
      <c r="S2" s="45"/>
      <c r="T2" s="45"/>
      <c r="U2" s="45">
        <v>360</v>
      </c>
      <c r="V2" s="45"/>
      <c r="W2" s="45"/>
      <c r="X2" s="45"/>
      <c r="Y2" s="45"/>
      <c r="Z2" s="45"/>
      <c r="AA2" s="45"/>
      <c r="AB2" s="45"/>
      <c r="AC2" s="45"/>
      <c r="AD2" s="45"/>
      <c r="AE2" s="45"/>
      <c r="AF2" s="45"/>
      <c r="AG2" s="45"/>
      <c r="AH2" s="45"/>
      <c r="AI2" s="45"/>
      <c r="AJ2" s="45"/>
      <c r="AK2" s="45"/>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row>
    <row r="3" spans="1:63" x14ac:dyDescent="0.25">
      <c r="A3" s="35" t="s">
        <v>426</v>
      </c>
      <c r="B3" s="55" t="s">
        <v>458</v>
      </c>
      <c r="C3" s="285">
        <f>SUM(AllMix[[#This Row],[Black Sunflowers]:[Canary Mix]])</f>
        <v>480</v>
      </c>
      <c r="D3" s="45"/>
      <c r="E3" s="45"/>
      <c r="F3" s="45"/>
      <c r="G3" s="45"/>
      <c r="H3" s="45">
        <v>80</v>
      </c>
      <c r="I3" s="45"/>
      <c r="J3" s="45"/>
      <c r="K3" s="45"/>
      <c r="L3" s="45"/>
      <c r="M3" s="45">
        <v>50</v>
      </c>
      <c r="N3" s="45"/>
      <c r="O3" s="45">
        <v>25</v>
      </c>
      <c r="P3" s="45"/>
      <c r="Q3" s="45"/>
      <c r="R3" s="45">
        <v>60</v>
      </c>
      <c r="S3" s="45"/>
      <c r="T3" s="45"/>
      <c r="U3" s="45">
        <v>200</v>
      </c>
      <c r="V3" s="45"/>
      <c r="W3" s="45"/>
      <c r="X3" s="45"/>
      <c r="Y3" s="45">
        <v>25</v>
      </c>
      <c r="Z3" s="45"/>
      <c r="AA3" s="45"/>
      <c r="AB3" s="45"/>
      <c r="AC3" s="45"/>
      <c r="AD3" s="45"/>
      <c r="AE3" s="45"/>
      <c r="AF3" s="45"/>
      <c r="AG3" s="45"/>
      <c r="AH3" s="45"/>
      <c r="AI3" s="45"/>
      <c r="AJ3" s="45"/>
      <c r="AK3" s="45"/>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v>40</v>
      </c>
    </row>
    <row r="4" spans="1:63" x14ac:dyDescent="0.25">
      <c r="A4" s="35" t="s">
        <v>426</v>
      </c>
      <c r="B4" s="55" t="s">
        <v>453</v>
      </c>
      <c r="C4" s="285">
        <f>SUM(AllMix[[#This Row],[Black Sunflowers]:[Canary Mix]])</f>
        <v>1260</v>
      </c>
      <c r="D4" s="45">
        <v>275</v>
      </c>
      <c r="E4" s="45"/>
      <c r="F4" s="45"/>
      <c r="G4" s="45">
        <v>25</v>
      </c>
      <c r="H4" s="45"/>
      <c r="I4" s="45"/>
      <c r="J4" s="45">
        <v>60</v>
      </c>
      <c r="K4" s="45"/>
      <c r="L4" s="45"/>
      <c r="M4" s="45"/>
      <c r="N4" s="45"/>
      <c r="O4" s="45"/>
      <c r="P4" s="45"/>
      <c r="Q4" s="45">
        <v>60</v>
      </c>
      <c r="R4" s="45">
        <v>240</v>
      </c>
      <c r="S4" s="45"/>
      <c r="T4" s="45">
        <v>600</v>
      </c>
      <c r="U4" s="45"/>
      <c r="V4" s="45"/>
      <c r="W4" s="45"/>
      <c r="X4" s="45"/>
      <c r="Y4" s="45"/>
      <c r="Z4" s="45"/>
      <c r="AA4" s="45"/>
      <c r="AB4" s="45"/>
      <c r="AC4" s="45"/>
      <c r="AD4" s="45"/>
      <c r="AE4" s="45"/>
      <c r="AF4" s="45"/>
      <c r="AG4" s="45"/>
      <c r="AH4" s="45"/>
      <c r="AI4" s="45"/>
      <c r="AJ4" s="45"/>
      <c r="AK4" s="45"/>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row>
    <row r="5" spans="1:63" x14ac:dyDescent="0.25">
      <c r="A5" s="35" t="s">
        <v>426</v>
      </c>
      <c r="B5" s="55" t="s">
        <v>444</v>
      </c>
      <c r="C5" s="285">
        <f>SUM(AllMix[[#This Row],[Black Sunflowers]:[Canary Mix]])</f>
        <v>1300</v>
      </c>
      <c r="D5" s="45"/>
      <c r="E5" s="45"/>
      <c r="F5" s="45"/>
      <c r="G5" s="45"/>
      <c r="H5" s="45">
        <v>400</v>
      </c>
      <c r="I5" s="45"/>
      <c r="J5" s="45"/>
      <c r="K5" s="45"/>
      <c r="L5" s="45"/>
      <c r="M5" s="45">
        <v>150</v>
      </c>
      <c r="N5" s="45"/>
      <c r="O5" s="45"/>
      <c r="P5" s="45"/>
      <c r="Q5" s="45"/>
      <c r="R5" s="45"/>
      <c r="S5" s="45"/>
      <c r="T5" s="45"/>
      <c r="U5" s="45">
        <v>750</v>
      </c>
      <c r="V5" s="45"/>
      <c r="W5" s="45"/>
      <c r="X5" s="45"/>
      <c r="Y5" s="45"/>
      <c r="Z5" s="45"/>
      <c r="AA5" s="45"/>
      <c r="AB5" s="45"/>
      <c r="AC5" s="45"/>
      <c r="AD5" s="45"/>
      <c r="AE5" s="45"/>
      <c r="AF5" s="45"/>
      <c r="AG5" s="45"/>
      <c r="AH5" s="45"/>
      <c r="AI5" s="45"/>
      <c r="AJ5" s="45"/>
      <c r="AK5" s="45"/>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row>
    <row r="6" spans="1:63" x14ac:dyDescent="0.25">
      <c r="A6" s="35" t="s">
        <v>426</v>
      </c>
      <c r="B6" s="55" t="s">
        <v>446</v>
      </c>
      <c r="C6" s="285">
        <f>SUM(AllMix[[#This Row],[Black Sunflowers]:[Canary Mix]])</f>
        <v>1470</v>
      </c>
      <c r="D6" s="45"/>
      <c r="E6" s="45"/>
      <c r="F6" s="45">
        <v>120</v>
      </c>
      <c r="G6" s="45"/>
      <c r="H6" s="45">
        <v>600</v>
      </c>
      <c r="I6" s="45">
        <v>100</v>
      </c>
      <c r="J6" s="45"/>
      <c r="K6" s="45"/>
      <c r="L6" s="45"/>
      <c r="M6" s="45"/>
      <c r="N6" s="45"/>
      <c r="O6" s="45">
        <v>550</v>
      </c>
      <c r="P6" s="45"/>
      <c r="Q6" s="45"/>
      <c r="R6" s="45"/>
      <c r="S6" s="45"/>
      <c r="T6" s="45"/>
      <c r="U6" s="45">
        <v>100</v>
      </c>
      <c r="V6" s="45"/>
      <c r="W6" s="45"/>
      <c r="X6" s="45"/>
      <c r="Y6" s="45"/>
      <c r="Z6" s="45"/>
      <c r="AA6" s="45"/>
      <c r="AB6" s="45"/>
      <c r="AC6" s="45"/>
      <c r="AD6" s="45"/>
      <c r="AE6" s="45"/>
      <c r="AF6" s="45"/>
      <c r="AG6" s="45"/>
      <c r="AH6" s="45"/>
      <c r="AI6" s="45"/>
      <c r="AJ6" s="45"/>
      <c r="AK6" s="45"/>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row>
    <row r="7" spans="1:63" x14ac:dyDescent="0.25">
      <c r="A7" s="35" t="s">
        <v>426</v>
      </c>
      <c r="B7" s="55" t="s">
        <v>450</v>
      </c>
      <c r="C7" s="285">
        <f>SUM(AllMix[[#This Row],[Black Sunflowers]:[Canary Mix]])</f>
        <v>1100</v>
      </c>
      <c r="D7" s="45"/>
      <c r="E7" s="45"/>
      <c r="F7" s="45"/>
      <c r="G7" s="45"/>
      <c r="H7" s="45"/>
      <c r="I7" s="45">
        <v>100</v>
      </c>
      <c r="J7" s="45"/>
      <c r="K7" s="45"/>
      <c r="L7" s="45"/>
      <c r="M7" s="45">
        <v>200</v>
      </c>
      <c r="N7" s="45"/>
      <c r="O7" s="45">
        <v>200</v>
      </c>
      <c r="P7" s="45"/>
      <c r="Q7" s="45"/>
      <c r="R7" s="45"/>
      <c r="S7" s="45"/>
      <c r="T7" s="45"/>
      <c r="U7" s="45">
        <v>600</v>
      </c>
      <c r="V7" s="45"/>
      <c r="W7" s="45"/>
      <c r="X7" s="45"/>
      <c r="Y7" s="45"/>
      <c r="Z7" s="45"/>
      <c r="AA7" s="45"/>
      <c r="AB7" s="45"/>
      <c r="AC7" s="45"/>
      <c r="AD7" s="45"/>
      <c r="AE7" s="45"/>
      <c r="AF7" s="45"/>
      <c r="AG7" s="45"/>
      <c r="AH7" s="45"/>
      <c r="AI7" s="45"/>
      <c r="AJ7" s="45"/>
      <c r="AK7" s="45"/>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row>
    <row r="8" spans="1:63" x14ac:dyDescent="0.25">
      <c r="A8" s="35" t="s">
        <v>426</v>
      </c>
      <c r="B8" s="118" t="s">
        <v>303</v>
      </c>
      <c r="C8" s="285">
        <f>SUM(AllMix[[#This Row],[Black Sunflowers]:[Canary Mix]])</f>
        <v>1000</v>
      </c>
      <c r="D8" s="45"/>
      <c r="E8" s="45"/>
      <c r="F8" s="45"/>
      <c r="G8" s="45"/>
      <c r="H8" s="45"/>
      <c r="I8" s="45"/>
      <c r="J8" s="45"/>
      <c r="K8" s="45"/>
      <c r="L8" s="45"/>
      <c r="M8" s="45"/>
      <c r="N8" s="45">
        <v>220</v>
      </c>
      <c r="O8" s="45"/>
      <c r="P8" s="45">
        <v>100</v>
      </c>
      <c r="Q8" s="45">
        <v>60</v>
      </c>
      <c r="R8" s="45">
        <v>220</v>
      </c>
      <c r="S8" s="45">
        <v>60</v>
      </c>
      <c r="T8" s="45">
        <v>340</v>
      </c>
      <c r="U8" s="45"/>
      <c r="V8" s="45"/>
      <c r="W8" s="45"/>
      <c r="X8" s="45"/>
      <c r="Y8" s="45"/>
      <c r="Z8" s="45"/>
      <c r="AA8" s="45"/>
      <c r="AB8" s="45"/>
      <c r="AC8" s="45"/>
      <c r="AD8" s="45"/>
      <c r="AE8" s="45"/>
      <c r="AF8" s="45"/>
      <c r="AG8" s="45"/>
      <c r="AH8" s="45"/>
      <c r="AI8" s="45"/>
      <c r="AJ8" s="45"/>
      <c r="AK8" s="45"/>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row>
    <row r="9" spans="1:63" x14ac:dyDescent="0.25">
      <c r="A9" s="35" t="s">
        <v>426</v>
      </c>
      <c r="B9" s="55" t="s">
        <v>448</v>
      </c>
      <c r="C9" s="285">
        <f>SUM(AllMix[[#This Row],[Black Sunflowers]:[Canary Mix]])</f>
        <v>1105</v>
      </c>
      <c r="D9" s="45"/>
      <c r="E9" s="45"/>
      <c r="F9" s="45"/>
      <c r="G9" s="45">
        <v>200</v>
      </c>
      <c r="H9" s="45">
        <v>200</v>
      </c>
      <c r="I9" s="45"/>
      <c r="J9" s="45"/>
      <c r="K9" s="45"/>
      <c r="L9" s="45"/>
      <c r="M9" s="45">
        <v>125</v>
      </c>
      <c r="N9" s="45"/>
      <c r="O9" s="45">
        <v>200</v>
      </c>
      <c r="P9" s="45"/>
      <c r="Q9" s="45">
        <v>80</v>
      </c>
      <c r="R9" s="45"/>
      <c r="S9" s="45"/>
      <c r="T9" s="45"/>
      <c r="U9" s="45">
        <v>300</v>
      </c>
      <c r="V9" s="45"/>
      <c r="W9" s="45"/>
      <c r="X9" s="45"/>
      <c r="Y9" s="45"/>
      <c r="Z9" s="45"/>
      <c r="AA9" s="45"/>
      <c r="AB9" s="45"/>
      <c r="AC9" s="45"/>
      <c r="AD9" s="45"/>
      <c r="AE9" s="45"/>
      <c r="AF9" s="45"/>
      <c r="AG9" s="45"/>
      <c r="AH9" s="45"/>
      <c r="AI9" s="45"/>
      <c r="AJ9" s="45"/>
      <c r="AK9" s="45"/>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row>
    <row r="10" spans="1:63" x14ac:dyDescent="0.25">
      <c r="A10" s="35" t="s">
        <v>426</v>
      </c>
      <c r="B10" s="55" t="s">
        <v>438</v>
      </c>
      <c r="C10" s="285">
        <f>SUM(AllMix[[#This Row],[Black Sunflowers]:[Canary Mix]])</f>
        <v>1355</v>
      </c>
      <c r="D10" s="45">
        <v>275</v>
      </c>
      <c r="E10" s="45"/>
      <c r="F10" s="45"/>
      <c r="G10" s="45"/>
      <c r="H10" s="45"/>
      <c r="I10" s="45"/>
      <c r="J10" s="45">
        <v>60</v>
      </c>
      <c r="K10" s="45">
        <v>160</v>
      </c>
      <c r="L10" s="45"/>
      <c r="M10" s="45"/>
      <c r="N10" s="45"/>
      <c r="O10" s="45"/>
      <c r="P10" s="45"/>
      <c r="Q10" s="45">
        <v>60</v>
      </c>
      <c r="R10" s="45">
        <v>200</v>
      </c>
      <c r="S10" s="45"/>
      <c r="T10" s="45">
        <v>600</v>
      </c>
      <c r="U10" s="45"/>
      <c r="V10" s="45"/>
      <c r="W10" s="45"/>
      <c r="X10" s="45"/>
      <c r="Y10" s="45"/>
      <c r="Z10" s="45"/>
      <c r="AA10" s="45"/>
      <c r="AB10" s="45"/>
      <c r="AC10" s="45"/>
      <c r="AD10" s="45"/>
      <c r="AE10" s="45"/>
      <c r="AF10" s="45"/>
      <c r="AG10" s="45"/>
      <c r="AH10" s="45"/>
      <c r="AI10" s="45"/>
      <c r="AJ10" s="45"/>
      <c r="AK10" s="45"/>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row>
    <row r="11" spans="1:63" x14ac:dyDescent="0.25">
      <c r="A11" s="35" t="s">
        <v>426</v>
      </c>
      <c r="B11" s="55" t="s">
        <v>427</v>
      </c>
      <c r="C11" s="285">
        <f>SUM(AllMix[[#This Row],[Black Sunflowers]:[Canary Mix]])</f>
        <v>1600</v>
      </c>
      <c r="D11" s="45"/>
      <c r="E11" s="45"/>
      <c r="F11" s="45"/>
      <c r="G11" s="45"/>
      <c r="H11" s="45"/>
      <c r="I11" s="45"/>
      <c r="J11" s="45">
        <v>100</v>
      </c>
      <c r="K11" s="45"/>
      <c r="L11" s="45"/>
      <c r="M11" s="45"/>
      <c r="N11" s="45">
        <v>500</v>
      </c>
      <c r="O11" s="45"/>
      <c r="P11" s="45"/>
      <c r="Q11" s="45">
        <v>100</v>
      </c>
      <c r="R11" s="45">
        <v>300</v>
      </c>
      <c r="S11" s="45"/>
      <c r="T11" s="45">
        <v>600</v>
      </c>
      <c r="U11" s="45"/>
      <c r="V11" s="45"/>
      <c r="W11" s="45"/>
      <c r="X11" s="45"/>
      <c r="Y11" s="45"/>
      <c r="Z11" s="45"/>
      <c r="AA11" s="45"/>
      <c r="AB11" s="45"/>
      <c r="AC11" s="45"/>
      <c r="AD11" s="45"/>
      <c r="AE11" s="45"/>
      <c r="AF11" s="45"/>
      <c r="AG11" s="45"/>
      <c r="AH11" s="45"/>
      <c r="AI11" s="45"/>
      <c r="AJ11" s="45"/>
      <c r="AK11" s="45"/>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row>
    <row r="12" spans="1:63" x14ac:dyDescent="0.25">
      <c r="A12" s="35" t="s">
        <v>426</v>
      </c>
      <c r="B12" s="55" t="s">
        <v>464</v>
      </c>
      <c r="C12" s="285">
        <f>SUM(AllMix[[#This Row],[Black Sunflowers]:[Canary Mix]])</f>
        <v>515</v>
      </c>
      <c r="D12" s="45"/>
      <c r="E12" s="45"/>
      <c r="F12" s="45"/>
      <c r="G12" s="45">
        <v>140</v>
      </c>
      <c r="H12" s="45">
        <v>80</v>
      </c>
      <c r="I12" s="45"/>
      <c r="J12" s="45"/>
      <c r="K12" s="45"/>
      <c r="L12" s="45"/>
      <c r="M12" s="45"/>
      <c r="N12" s="45"/>
      <c r="O12" s="45">
        <v>175</v>
      </c>
      <c r="P12" s="45"/>
      <c r="Q12" s="45">
        <v>120</v>
      </c>
      <c r="R12" s="45"/>
      <c r="S12" s="45"/>
      <c r="T12" s="45"/>
      <c r="U12" s="45"/>
      <c r="V12" s="45"/>
      <c r="W12" s="45"/>
      <c r="X12" s="45"/>
      <c r="Y12" s="45"/>
      <c r="Z12" s="45"/>
      <c r="AA12" s="45"/>
      <c r="AB12" s="45"/>
      <c r="AC12" s="45"/>
      <c r="AD12" s="45"/>
      <c r="AE12" s="45"/>
      <c r="AF12" s="45"/>
      <c r="AG12" s="45"/>
      <c r="AH12" s="45"/>
      <c r="AI12" s="45"/>
      <c r="AJ12" s="45"/>
      <c r="AK12" s="45"/>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row>
    <row r="13" spans="1:63" x14ac:dyDescent="0.25">
      <c r="A13" s="35" t="s">
        <v>426</v>
      </c>
      <c r="B13" s="55" t="s">
        <v>466</v>
      </c>
      <c r="C13" s="285">
        <f>SUM(AllMix[[#This Row],[Black Sunflowers]:[Canary Mix]])</f>
        <v>440</v>
      </c>
      <c r="D13" s="45"/>
      <c r="E13" s="45"/>
      <c r="F13" s="45"/>
      <c r="G13" s="45">
        <v>100</v>
      </c>
      <c r="H13" s="45"/>
      <c r="I13" s="45"/>
      <c r="J13" s="45">
        <v>60</v>
      </c>
      <c r="K13" s="45">
        <v>100</v>
      </c>
      <c r="L13" s="45"/>
      <c r="M13" s="45"/>
      <c r="N13" s="45"/>
      <c r="O13" s="45"/>
      <c r="P13" s="45"/>
      <c r="Q13" s="45">
        <v>80</v>
      </c>
      <c r="R13" s="45">
        <v>100</v>
      </c>
      <c r="S13" s="45"/>
      <c r="T13" s="45"/>
      <c r="U13" s="45"/>
      <c r="V13" s="45"/>
      <c r="W13" s="45"/>
      <c r="X13" s="45"/>
      <c r="Y13" s="45"/>
      <c r="Z13" s="45"/>
      <c r="AA13" s="45"/>
      <c r="AB13" s="45"/>
      <c r="AC13" s="45"/>
      <c r="AD13" s="45"/>
      <c r="AE13" s="45"/>
      <c r="AF13" s="45"/>
      <c r="AG13" s="45"/>
      <c r="AH13" s="45"/>
      <c r="AI13" s="45"/>
      <c r="AJ13" s="45"/>
      <c r="AK13" s="45"/>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row>
    <row r="14" spans="1:63" x14ac:dyDescent="0.25">
      <c r="A14" s="35" t="s">
        <v>426</v>
      </c>
      <c r="B14" s="55" t="s">
        <v>432</v>
      </c>
      <c r="C14" s="285">
        <f>SUM(AllMix[[#This Row],[Black Sunflowers]:[Canary Mix]])</f>
        <v>1555</v>
      </c>
      <c r="D14" s="45">
        <v>275</v>
      </c>
      <c r="E14" s="45"/>
      <c r="F14" s="45"/>
      <c r="G14" s="45"/>
      <c r="H14" s="45"/>
      <c r="I14" s="45"/>
      <c r="J14" s="45">
        <v>80</v>
      </c>
      <c r="K14" s="45">
        <v>320</v>
      </c>
      <c r="L14" s="45"/>
      <c r="M14" s="45"/>
      <c r="N14" s="45"/>
      <c r="O14" s="45"/>
      <c r="P14" s="45"/>
      <c r="Q14" s="45">
        <v>60</v>
      </c>
      <c r="R14" s="45">
        <v>220</v>
      </c>
      <c r="S14" s="45"/>
      <c r="T14" s="45">
        <v>600</v>
      </c>
      <c r="U14" s="45"/>
      <c r="V14" s="45"/>
      <c r="W14" s="45"/>
      <c r="X14" s="45"/>
      <c r="Y14" s="45"/>
      <c r="Z14" s="45"/>
      <c r="AA14" s="45"/>
      <c r="AB14" s="45"/>
      <c r="AC14" s="45"/>
      <c r="AD14" s="45"/>
      <c r="AE14" s="45"/>
      <c r="AF14" s="45"/>
      <c r="AG14" s="45"/>
      <c r="AH14" s="45"/>
      <c r="AI14" s="45"/>
      <c r="AJ14" s="45"/>
      <c r="AK14" s="45"/>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row>
    <row r="15" spans="1:63" x14ac:dyDescent="0.25">
      <c r="A15" s="35" t="s">
        <v>42</v>
      </c>
      <c r="B15" s="55" t="s">
        <v>143</v>
      </c>
      <c r="C15" s="285">
        <f>SUM(AllMix[[#This Row],[Black Sunflowers]:[Canary Mix]])</f>
        <v>988</v>
      </c>
      <c r="D15" s="45"/>
      <c r="E15" s="45"/>
      <c r="F15" s="45"/>
      <c r="G15" s="45"/>
      <c r="H15" s="45"/>
      <c r="I15" s="45"/>
      <c r="J15" s="45">
        <v>100</v>
      </c>
      <c r="K15" s="45"/>
      <c r="L15" s="45"/>
      <c r="M15" s="45"/>
      <c r="N15" s="45">
        <v>500</v>
      </c>
      <c r="O15" s="45"/>
      <c r="P15" s="45"/>
      <c r="Q15" s="45">
        <v>100</v>
      </c>
      <c r="R15" s="45">
        <v>100</v>
      </c>
      <c r="S15" s="45"/>
      <c r="T15" s="45"/>
      <c r="U15" s="45"/>
      <c r="V15" s="45"/>
      <c r="W15" s="45"/>
      <c r="X15" s="45">
        <v>100</v>
      </c>
      <c r="Y15" s="45"/>
      <c r="Z15" s="45"/>
      <c r="AA15" s="45"/>
      <c r="AB15" s="45"/>
      <c r="AC15" s="45"/>
      <c r="AD15" s="45"/>
      <c r="AE15" s="45"/>
      <c r="AF15" s="45"/>
      <c r="AG15" s="45"/>
      <c r="AH15" s="45"/>
      <c r="AI15" s="45"/>
      <c r="AJ15" s="45"/>
      <c r="AK15" s="45">
        <v>88</v>
      </c>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row>
    <row r="16" spans="1:63" x14ac:dyDescent="0.25">
      <c r="A16" s="35" t="s">
        <v>42</v>
      </c>
      <c r="B16" s="55" t="s">
        <v>489</v>
      </c>
      <c r="C16" s="285">
        <f>SUM(AllMix[[#This Row],[Black Sunflowers]:[Canary Mix]])</f>
        <v>555</v>
      </c>
      <c r="D16" s="45"/>
      <c r="E16" s="45"/>
      <c r="F16" s="45">
        <v>40</v>
      </c>
      <c r="G16" s="45"/>
      <c r="H16" s="45">
        <v>80</v>
      </c>
      <c r="I16" s="45">
        <v>75</v>
      </c>
      <c r="J16" s="45"/>
      <c r="K16" s="45"/>
      <c r="L16" s="45"/>
      <c r="M16" s="45"/>
      <c r="N16" s="45"/>
      <c r="O16" s="45">
        <v>80</v>
      </c>
      <c r="P16" s="45"/>
      <c r="Q16" s="45"/>
      <c r="R16" s="45"/>
      <c r="S16" s="45">
        <v>200</v>
      </c>
      <c r="T16" s="45"/>
      <c r="U16" s="45">
        <v>80</v>
      </c>
      <c r="V16" s="45"/>
      <c r="W16" s="45"/>
      <c r="X16" s="45"/>
      <c r="Y16" s="45"/>
      <c r="Z16" s="45"/>
      <c r="AA16" s="45"/>
      <c r="AB16" s="45"/>
      <c r="AC16" s="45"/>
      <c r="AD16" s="45"/>
      <c r="AE16" s="45"/>
      <c r="AF16" s="45"/>
      <c r="AG16" s="45"/>
      <c r="AH16" s="45"/>
      <c r="AI16" s="45"/>
      <c r="AJ16" s="45"/>
      <c r="AK16" s="45"/>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row>
    <row r="17" spans="1:63" x14ac:dyDescent="0.25">
      <c r="A17" s="35" t="s">
        <v>42</v>
      </c>
      <c r="B17" s="55" t="s">
        <v>470</v>
      </c>
      <c r="C17" s="285">
        <f>SUM(AllMix[[#This Row],[Black Sunflowers]:[Canary Mix]])</f>
        <v>988</v>
      </c>
      <c r="D17" s="45"/>
      <c r="E17" s="45"/>
      <c r="F17" s="45"/>
      <c r="G17" s="45"/>
      <c r="H17" s="45"/>
      <c r="I17" s="45"/>
      <c r="J17" s="45"/>
      <c r="K17" s="45"/>
      <c r="L17" s="45"/>
      <c r="M17" s="45"/>
      <c r="N17" s="45">
        <v>500</v>
      </c>
      <c r="O17" s="45"/>
      <c r="P17" s="45">
        <v>100</v>
      </c>
      <c r="Q17" s="45">
        <v>100</v>
      </c>
      <c r="R17" s="45">
        <v>100</v>
      </c>
      <c r="S17" s="45"/>
      <c r="T17" s="45"/>
      <c r="U17" s="45"/>
      <c r="V17" s="45"/>
      <c r="W17" s="45"/>
      <c r="X17" s="45">
        <v>100</v>
      </c>
      <c r="Y17" s="45"/>
      <c r="Z17" s="45"/>
      <c r="AA17" s="45"/>
      <c r="AB17" s="45"/>
      <c r="AC17" s="45"/>
      <c r="AD17" s="45"/>
      <c r="AE17" s="45"/>
      <c r="AF17" s="45"/>
      <c r="AG17" s="45"/>
      <c r="AH17" s="45"/>
      <c r="AI17" s="45"/>
      <c r="AJ17" s="45"/>
      <c r="AK17" s="45">
        <v>88</v>
      </c>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row>
    <row r="18" spans="1:63" x14ac:dyDescent="0.25">
      <c r="A18" s="35" t="s">
        <v>42</v>
      </c>
      <c r="B18" s="55" t="s">
        <v>174</v>
      </c>
      <c r="C18" s="285">
        <f>SUM(AllMix[[#This Row],[Black Sunflowers]:[Canary Mix]])</f>
        <v>975</v>
      </c>
      <c r="D18" s="45"/>
      <c r="E18" s="45"/>
      <c r="F18" s="45"/>
      <c r="G18" s="45"/>
      <c r="H18" s="45"/>
      <c r="I18" s="45"/>
      <c r="J18" s="45">
        <v>100</v>
      </c>
      <c r="K18" s="45"/>
      <c r="L18" s="45"/>
      <c r="M18" s="45"/>
      <c r="N18" s="45">
        <v>275</v>
      </c>
      <c r="O18" s="45"/>
      <c r="P18" s="45"/>
      <c r="Q18" s="45">
        <v>100</v>
      </c>
      <c r="R18" s="45">
        <v>160</v>
      </c>
      <c r="S18" s="45">
        <v>20</v>
      </c>
      <c r="T18" s="45"/>
      <c r="U18" s="45"/>
      <c r="V18" s="45">
        <v>140</v>
      </c>
      <c r="W18" s="45"/>
      <c r="X18" s="45">
        <v>180</v>
      </c>
      <c r="Y18" s="45"/>
      <c r="Z18" s="45"/>
      <c r="AA18" s="45"/>
      <c r="AB18" s="45"/>
      <c r="AC18" s="45"/>
      <c r="AD18" s="45"/>
      <c r="AE18" s="45"/>
      <c r="AF18" s="45"/>
      <c r="AG18" s="45"/>
      <c r="AH18" s="45"/>
      <c r="AI18" s="45"/>
      <c r="AJ18" s="45"/>
      <c r="AK18" s="45"/>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row>
    <row r="19" spans="1:63" x14ac:dyDescent="0.25">
      <c r="A19" s="35" t="s">
        <v>42</v>
      </c>
      <c r="B19" s="55" t="s">
        <v>487</v>
      </c>
      <c r="C19" s="285">
        <f>SUM(AllMix[[#This Row],[Black Sunflowers]:[Canary Mix]])</f>
        <v>100</v>
      </c>
      <c r="D19" s="45"/>
      <c r="E19" s="45"/>
      <c r="F19" s="45">
        <v>2</v>
      </c>
      <c r="G19" s="45"/>
      <c r="H19" s="45"/>
      <c r="I19" s="45">
        <v>1</v>
      </c>
      <c r="J19" s="45">
        <v>8</v>
      </c>
      <c r="K19" s="45"/>
      <c r="L19" s="45"/>
      <c r="M19" s="45"/>
      <c r="N19" s="45">
        <v>5</v>
      </c>
      <c r="O19" s="45"/>
      <c r="P19" s="45"/>
      <c r="Q19" s="45">
        <v>10</v>
      </c>
      <c r="R19" s="45">
        <v>30</v>
      </c>
      <c r="S19" s="45">
        <v>2</v>
      </c>
      <c r="T19" s="45"/>
      <c r="U19" s="45"/>
      <c r="V19" s="45"/>
      <c r="W19" s="45"/>
      <c r="X19" s="45">
        <v>40</v>
      </c>
      <c r="Y19" s="45">
        <v>2</v>
      </c>
      <c r="Z19" s="45"/>
      <c r="AA19" s="45"/>
      <c r="AB19" s="45"/>
      <c r="AC19" s="45"/>
      <c r="AD19" s="45"/>
      <c r="AE19" s="45"/>
      <c r="AF19" s="45"/>
      <c r="AG19" s="45"/>
      <c r="AH19" s="45"/>
      <c r="AI19" s="45"/>
      <c r="AJ19" s="45"/>
      <c r="AK19" s="45"/>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row>
    <row r="20" spans="1:63" x14ac:dyDescent="0.25">
      <c r="A20" s="35" t="s">
        <v>42</v>
      </c>
      <c r="B20" s="55" t="s">
        <v>177</v>
      </c>
      <c r="C20" s="285">
        <f>SUM(AllMix[[#This Row],[Black Sunflowers]:[Canary Mix]])</f>
        <v>975</v>
      </c>
      <c r="D20" s="45"/>
      <c r="E20" s="45"/>
      <c r="F20" s="45"/>
      <c r="G20" s="45"/>
      <c r="H20" s="45">
        <v>10</v>
      </c>
      <c r="I20" s="45"/>
      <c r="J20" s="45"/>
      <c r="K20" s="45"/>
      <c r="L20" s="45"/>
      <c r="M20" s="45"/>
      <c r="N20" s="45"/>
      <c r="O20" s="45">
        <v>20</v>
      </c>
      <c r="P20" s="45"/>
      <c r="Q20" s="45">
        <v>100</v>
      </c>
      <c r="R20" s="45">
        <v>125</v>
      </c>
      <c r="S20" s="45"/>
      <c r="T20" s="45"/>
      <c r="U20" s="45">
        <v>20</v>
      </c>
      <c r="V20" s="45">
        <v>400</v>
      </c>
      <c r="W20" s="45"/>
      <c r="X20" s="45">
        <v>300</v>
      </c>
      <c r="Y20" s="45"/>
      <c r="Z20" s="45"/>
      <c r="AA20" s="45"/>
      <c r="AB20" s="45"/>
      <c r="AC20" s="45"/>
      <c r="AD20" s="45"/>
      <c r="AE20" s="45"/>
      <c r="AF20" s="45"/>
      <c r="AG20" s="45"/>
      <c r="AH20" s="45"/>
      <c r="AI20" s="45"/>
      <c r="AJ20" s="45"/>
      <c r="AK20" s="45"/>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row>
    <row r="21" spans="1:63" x14ac:dyDescent="0.25">
      <c r="A21" s="35" t="s">
        <v>42</v>
      </c>
      <c r="B21" s="55" t="s">
        <v>472</v>
      </c>
      <c r="C21" s="285">
        <f>SUM(AllMix[[#This Row],[Black Sunflowers]:[Canary Mix]])</f>
        <v>990</v>
      </c>
      <c r="D21" s="45"/>
      <c r="E21" s="45"/>
      <c r="F21" s="45"/>
      <c r="G21" s="45"/>
      <c r="H21" s="45"/>
      <c r="I21" s="45"/>
      <c r="J21" s="45"/>
      <c r="K21" s="45"/>
      <c r="L21" s="45"/>
      <c r="M21" s="45"/>
      <c r="N21" s="45">
        <v>300</v>
      </c>
      <c r="O21" s="45"/>
      <c r="P21" s="45">
        <v>60</v>
      </c>
      <c r="Q21" s="45">
        <v>100</v>
      </c>
      <c r="R21" s="45">
        <v>180</v>
      </c>
      <c r="S21" s="45">
        <v>50</v>
      </c>
      <c r="T21" s="45"/>
      <c r="U21" s="45"/>
      <c r="V21" s="45"/>
      <c r="W21" s="45"/>
      <c r="X21" s="45">
        <v>300</v>
      </c>
      <c r="Y21" s="45"/>
      <c r="Z21" s="45"/>
      <c r="AA21" s="45"/>
      <c r="AB21" s="45"/>
      <c r="AC21" s="45"/>
      <c r="AD21" s="45"/>
      <c r="AE21" s="45"/>
      <c r="AF21" s="45"/>
      <c r="AG21" s="45"/>
      <c r="AH21" s="45"/>
      <c r="AI21" s="45"/>
      <c r="AJ21" s="45"/>
      <c r="AK21" s="45"/>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row>
    <row r="22" spans="1:63" x14ac:dyDescent="0.25">
      <c r="A22" s="35" t="s">
        <v>42</v>
      </c>
      <c r="B22" s="55" t="s">
        <v>482</v>
      </c>
      <c r="C22" s="285">
        <f>SUM(AllMix[[#This Row],[Black Sunflowers]:[Canary Mix]])</f>
        <v>1000</v>
      </c>
      <c r="D22" s="45"/>
      <c r="E22" s="45"/>
      <c r="F22" s="45"/>
      <c r="G22" s="45"/>
      <c r="H22" s="45"/>
      <c r="I22" s="45"/>
      <c r="J22" s="45"/>
      <c r="K22" s="45"/>
      <c r="L22" s="45"/>
      <c r="M22" s="45"/>
      <c r="N22" s="45"/>
      <c r="O22" s="45"/>
      <c r="P22" s="45">
        <v>60</v>
      </c>
      <c r="Q22" s="45">
        <v>140</v>
      </c>
      <c r="R22" s="45">
        <v>310</v>
      </c>
      <c r="S22" s="45">
        <v>50</v>
      </c>
      <c r="T22" s="45"/>
      <c r="U22" s="45"/>
      <c r="V22" s="45"/>
      <c r="W22" s="45"/>
      <c r="X22" s="45">
        <v>390</v>
      </c>
      <c r="Y22" s="45">
        <v>50</v>
      </c>
      <c r="Z22" s="45"/>
      <c r="AA22" s="45"/>
      <c r="AB22" s="45"/>
      <c r="AC22" s="45"/>
      <c r="AD22" s="45"/>
      <c r="AE22" s="45"/>
      <c r="AF22" s="45"/>
      <c r="AG22" s="45"/>
      <c r="AH22" s="45"/>
      <c r="AI22" s="45"/>
      <c r="AJ22" s="45"/>
      <c r="AK22" s="45"/>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row>
    <row r="23" spans="1:63" x14ac:dyDescent="0.25">
      <c r="A23" s="35" t="s">
        <v>42</v>
      </c>
      <c r="B23" s="55" t="s">
        <v>483</v>
      </c>
      <c r="C23" s="285">
        <f>SUM(AllMix[[#This Row],[Black Sunflowers]:[Canary Mix]])</f>
        <v>1030</v>
      </c>
      <c r="D23" s="45"/>
      <c r="E23" s="45"/>
      <c r="F23" s="45"/>
      <c r="G23" s="45"/>
      <c r="H23" s="45"/>
      <c r="I23" s="45"/>
      <c r="J23" s="45"/>
      <c r="K23" s="45"/>
      <c r="L23" s="45"/>
      <c r="M23" s="45"/>
      <c r="N23" s="45"/>
      <c r="O23" s="45"/>
      <c r="P23" s="45">
        <v>100</v>
      </c>
      <c r="Q23" s="45">
        <v>160</v>
      </c>
      <c r="R23" s="45">
        <v>280</v>
      </c>
      <c r="S23" s="45">
        <v>50</v>
      </c>
      <c r="T23" s="45"/>
      <c r="U23" s="45"/>
      <c r="V23" s="45"/>
      <c r="W23" s="45"/>
      <c r="X23" s="45">
        <v>340</v>
      </c>
      <c r="Y23" s="45">
        <v>100</v>
      </c>
      <c r="Z23" s="45"/>
      <c r="AA23" s="45"/>
      <c r="AB23" s="45"/>
      <c r="AC23" s="45"/>
      <c r="AD23" s="45"/>
      <c r="AE23" s="45"/>
      <c r="AF23" s="45"/>
      <c r="AG23" s="45"/>
      <c r="AH23" s="45"/>
      <c r="AI23" s="45"/>
      <c r="AJ23" s="45"/>
      <c r="AK23" s="45"/>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row>
    <row r="24" spans="1:63" x14ac:dyDescent="0.25">
      <c r="A24" s="35" t="s">
        <v>42</v>
      </c>
      <c r="B24" s="55" t="s">
        <v>475</v>
      </c>
      <c r="C24" s="285">
        <f>SUM(AllMix[[#This Row],[Black Sunflowers]:[Canary Mix]])</f>
        <v>985</v>
      </c>
      <c r="D24" s="45"/>
      <c r="E24" s="45"/>
      <c r="F24" s="45"/>
      <c r="G24" s="45"/>
      <c r="H24" s="45">
        <v>40</v>
      </c>
      <c r="I24" s="45"/>
      <c r="J24" s="45">
        <v>180</v>
      </c>
      <c r="K24" s="45"/>
      <c r="L24" s="45"/>
      <c r="M24" s="45"/>
      <c r="N24" s="45">
        <v>300</v>
      </c>
      <c r="O24" s="45"/>
      <c r="P24" s="45"/>
      <c r="Q24" s="45">
        <v>120</v>
      </c>
      <c r="R24" s="45">
        <v>160</v>
      </c>
      <c r="S24" s="45">
        <v>25</v>
      </c>
      <c r="T24" s="45"/>
      <c r="U24" s="45"/>
      <c r="V24" s="45"/>
      <c r="W24" s="45">
        <v>60</v>
      </c>
      <c r="X24" s="45">
        <v>100</v>
      </c>
      <c r="Y24" s="45"/>
      <c r="Z24" s="45"/>
      <c r="AA24" s="45"/>
      <c r="AB24" s="45"/>
      <c r="AC24" s="45"/>
      <c r="AD24" s="45"/>
      <c r="AE24" s="45"/>
      <c r="AF24" s="45"/>
      <c r="AG24" s="45"/>
      <c r="AH24" s="45"/>
      <c r="AI24" s="45"/>
      <c r="AJ24" s="45"/>
      <c r="AK24" s="45"/>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row>
    <row r="25" spans="1:63" x14ac:dyDescent="0.25">
      <c r="A25" s="35" t="s">
        <v>42</v>
      </c>
      <c r="B25" s="55" t="s">
        <v>186</v>
      </c>
      <c r="C25" s="285">
        <f>SUM(AllMix[[#This Row],[Black Sunflowers]:[Canary Mix]])</f>
        <v>1000</v>
      </c>
      <c r="D25" s="45"/>
      <c r="E25" s="45"/>
      <c r="F25" s="45"/>
      <c r="G25" s="45">
        <v>140</v>
      </c>
      <c r="H25" s="45"/>
      <c r="I25" s="45">
        <v>25</v>
      </c>
      <c r="J25" s="45">
        <v>60</v>
      </c>
      <c r="K25" s="45"/>
      <c r="L25" s="45"/>
      <c r="M25" s="45"/>
      <c r="N25" s="45">
        <v>275</v>
      </c>
      <c r="O25" s="45"/>
      <c r="P25" s="45"/>
      <c r="Q25" s="45">
        <v>100</v>
      </c>
      <c r="R25" s="45">
        <v>100</v>
      </c>
      <c r="S25" s="45"/>
      <c r="T25" s="45"/>
      <c r="U25" s="45"/>
      <c r="V25" s="45">
        <v>120</v>
      </c>
      <c r="W25" s="45"/>
      <c r="X25" s="45">
        <v>180</v>
      </c>
      <c r="Y25" s="45"/>
      <c r="Z25" s="45"/>
      <c r="AA25" s="45"/>
      <c r="AB25" s="45"/>
      <c r="AC25" s="45"/>
      <c r="AD25" s="45"/>
      <c r="AE25" s="45"/>
      <c r="AF25" s="45"/>
      <c r="AG25" s="45"/>
      <c r="AH25" s="45"/>
      <c r="AI25" s="45"/>
      <c r="AJ25" s="45"/>
      <c r="AK25" s="45"/>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row>
    <row r="26" spans="1:63" x14ac:dyDescent="0.25">
      <c r="A26" s="35" t="s">
        <v>42</v>
      </c>
      <c r="B26" s="55" t="s">
        <v>189</v>
      </c>
      <c r="C26" s="285">
        <f>SUM(AllMix[[#This Row],[Black Sunflowers]:[Canary Mix]])</f>
        <v>1000</v>
      </c>
      <c r="D26" s="45"/>
      <c r="E26" s="45"/>
      <c r="F26" s="45"/>
      <c r="G26" s="45"/>
      <c r="H26" s="45"/>
      <c r="I26" s="45"/>
      <c r="J26" s="45">
        <v>200</v>
      </c>
      <c r="K26" s="45"/>
      <c r="L26" s="45"/>
      <c r="M26" s="45"/>
      <c r="N26" s="45"/>
      <c r="O26" s="45"/>
      <c r="P26" s="45"/>
      <c r="Q26" s="45">
        <v>160</v>
      </c>
      <c r="R26" s="45">
        <v>280</v>
      </c>
      <c r="S26" s="45"/>
      <c r="T26" s="45"/>
      <c r="U26" s="45"/>
      <c r="V26" s="45"/>
      <c r="W26" s="45"/>
      <c r="X26" s="45">
        <v>360</v>
      </c>
      <c r="Y26" s="45"/>
      <c r="Z26" s="45"/>
      <c r="AA26" s="45"/>
      <c r="AB26" s="45"/>
      <c r="AC26" s="45"/>
      <c r="AD26" s="45"/>
      <c r="AE26" s="45"/>
      <c r="AF26" s="45"/>
      <c r="AG26" s="45"/>
      <c r="AH26" s="45"/>
      <c r="AI26" s="45"/>
      <c r="AJ26" s="45"/>
      <c r="AK26" s="45"/>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row>
    <row r="27" spans="1:63" x14ac:dyDescent="0.25">
      <c r="A27" s="35" t="s">
        <v>42</v>
      </c>
      <c r="B27" s="55" t="s">
        <v>477</v>
      </c>
      <c r="C27" s="285">
        <f>SUM(AllMix[[#This Row],[Black Sunflowers]:[Canary Mix]])</f>
        <v>1000</v>
      </c>
      <c r="D27" s="45"/>
      <c r="E27" s="45"/>
      <c r="F27" s="45"/>
      <c r="G27" s="45"/>
      <c r="H27" s="45"/>
      <c r="I27" s="45"/>
      <c r="J27" s="45"/>
      <c r="K27" s="45"/>
      <c r="L27" s="45"/>
      <c r="M27" s="45"/>
      <c r="N27" s="45"/>
      <c r="O27" s="45"/>
      <c r="P27" s="45">
        <v>200</v>
      </c>
      <c r="Q27" s="45">
        <v>160</v>
      </c>
      <c r="R27" s="45">
        <v>280</v>
      </c>
      <c r="S27" s="45"/>
      <c r="T27" s="45"/>
      <c r="U27" s="45"/>
      <c r="V27" s="45"/>
      <c r="W27" s="45"/>
      <c r="X27" s="45">
        <v>360</v>
      </c>
      <c r="Y27" s="45"/>
      <c r="Z27" s="45"/>
      <c r="AA27" s="45"/>
      <c r="AB27" s="45"/>
      <c r="AC27" s="45"/>
      <c r="AD27" s="45"/>
      <c r="AE27" s="45"/>
      <c r="AF27" s="45"/>
      <c r="AG27" s="45"/>
      <c r="AH27" s="45"/>
      <c r="AI27" s="45"/>
      <c r="AJ27" s="45"/>
      <c r="AK27" s="45"/>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row>
    <row r="28" spans="1:63" x14ac:dyDescent="0.25">
      <c r="A28" s="35" t="s">
        <v>42</v>
      </c>
      <c r="B28" s="55" t="s">
        <v>41</v>
      </c>
      <c r="C28" s="285">
        <f>SUM(AllMix[[#This Row],[Black Sunflowers]:[Canary Mix]])</f>
        <v>1010</v>
      </c>
      <c r="D28" s="45"/>
      <c r="E28" s="45"/>
      <c r="F28" s="45"/>
      <c r="G28" s="45"/>
      <c r="H28" s="45"/>
      <c r="I28" s="45"/>
      <c r="J28" s="45">
        <v>100</v>
      </c>
      <c r="K28" s="45"/>
      <c r="L28" s="45"/>
      <c r="M28" s="45"/>
      <c r="N28" s="45">
        <v>550</v>
      </c>
      <c r="O28" s="45"/>
      <c r="P28" s="45"/>
      <c r="Q28" s="45">
        <v>100</v>
      </c>
      <c r="R28" s="45">
        <v>100</v>
      </c>
      <c r="S28" s="45"/>
      <c r="T28" s="45"/>
      <c r="U28" s="45"/>
      <c r="V28" s="45"/>
      <c r="W28" s="45"/>
      <c r="X28" s="45">
        <v>160</v>
      </c>
      <c r="Y28" s="45"/>
      <c r="Z28" s="45"/>
      <c r="AA28" s="45"/>
      <c r="AB28" s="45"/>
      <c r="AC28" s="45"/>
      <c r="AD28" s="45"/>
      <c r="AE28" s="45"/>
      <c r="AF28" s="45"/>
      <c r="AG28" s="45"/>
      <c r="AH28" s="45"/>
      <c r="AI28" s="45"/>
      <c r="AJ28" s="45"/>
      <c r="AK28" s="45"/>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row>
    <row r="29" spans="1:63" x14ac:dyDescent="0.25">
      <c r="A29" s="35" t="s">
        <v>42</v>
      </c>
      <c r="B29" s="55" t="s">
        <v>478</v>
      </c>
      <c r="C29" s="285">
        <f>SUM(AllMix[[#This Row],[Black Sunflowers]:[Canary Mix]])</f>
        <v>1010</v>
      </c>
      <c r="D29" s="45"/>
      <c r="E29" s="45"/>
      <c r="F29" s="45"/>
      <c r="G29" s="45"/>
      <c r="H29" s="45"/>
      <c r="I29" s="45"/>
      <c r="J29" s="45"/>
      <c r="K29" s="45"/>
      <c r="L29" s="45"/>
      <c r="M29" s="45"/>
      <c r="N29" s="45">
        <v>550</v>
      </c>
      <c r="O29" s="45"/>
      <c r="P29" s="45">
        <v>100</v>
      </c>
      <c r="Q29" s="45">
        <v>100</v>
      </c>
      <c r="R29" s="45">
        <v>100</v>
      </c>
      <c r="S29" s="45"/>
      <c r="T29" s="45"/>
      <c r="U29" s="45"/>
      <c r="V29" s="45"/>
      <c r="W29" s="45"/>
      <c r="X29" s="45">
        <v>160</v>
      </c>
      <c r="Y29" s="45"/>
      <c r="Z29" s="45"/>
      <c r="AA29" s="45"/>
      <c r="AB29" s="45"/>
      <c r="AC29" s="45"/>
      <c r="AD29" s="45"/>
      <c r="AE29" s="45"/>
      <c r="AF29" s="45"/>
      <c r="AG29" s="45"/>
      <c r="AH29" s="45"/>
      <c r="AI29" s="45"/>
      <c r="AJ29" s="45"/>
      <c r="AK29" s="45"/>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row>
    <row r="30" spans="1:63" x14ac:dyDescent="0.25">
      <c r="A30" s="35" t="s">
        <v>42</v>
      </c>
      <c r="B30" s="55" t="s">
        <v>485</v>
      </c>
      <c r="C30" s="285">
        <f>SUM(AllMix[[#This Row],[Black Sunflowers]:[Canary Mix]])</f>
        <v>1080</v>
      </c>
      <c r="D30" s="45"/>
      <c r="E30" s="45"/>
      <c r="F30" s="45"/>
      <c r="G30" s="45"/>
      <c r="H30" s="45"/>
      <c r="I30" s="45"/>
      <c r="J30" s="45">
        <v>70</v>
      </c>
      <c r="K30" s="45"/>
      <c r="L30" s="45"/>
      <c r="M30" s="45"/>
      <c r="N30" s="45">
        <v>30</v>
      </c>
      <c r="O30" s="45"/>
      <c r="P30" s="45"/>
      <c r="Q30" s="45">
        <v>30</v>
      </c>
      <c r="R30" s="45">
        <v>300</v>
      </c>
      <c r="S30" s="45"/>
      <c r="T30" s="45">
        <v>650</v>
      </c>
      <c r="U30" s="45"/>
      <c r="V30" s="45"/>
      <c r="W30" s="45"/>
      <c r="X30" s="45"/>
      <c r="Y30" s="45"/>
      <c r="Z30" s="45"/>
      <c r="AA30" s="45"/>
      <c r="AB30" s="45"/>
      <c r="AC30" s="45"/>
      <c r="AD30" s="45"/>
      <c r="AE30" s="45"/>
      <c r="AF30" s="45"/>
      <c r="AG30" s="45"/>
      <c r="AH30" s="45"/>
      <c r="AI30" s="45"/>
      <c r="AJ30" s="45"/>
      <c r="AK30" s="45"/>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row>
    <row r="31" spans="1:63" x14ac:dyDescent="0.25">
      <c r="A31" s="35" t="s">
        <v>42</v>
      </c>
      <c r="B31" s="55" t="s">
        <v>484</v>
      </c>
      <c r="C31" s="285">
        <f>SUM(AllMix[[#This Row],[Black Sunflowers]:[Canary Mix]])</f>
        <v>1080</v>
      </c>
      <c r="D31" s="45"/>
      <c r="E31" s="45"/>
      <c r="F31" s="45"/>
      <c r="G31" s="45"/>
      <c r="H31" s="45"/>
      <c r="I31" s="45"/>
      <c r="J31" s="45"/>
      <c r="K31" s="45"/>
      <c r="L31" s="45"/>
      <c r="M31" s="45"/>
      <c r="N31" s="45">
        <v>30</v>
      </c>
      <c r="O31" s="45"/>
      <c r="P31" s="45">
        <v>70</v>
      </c>
      <c r="Q31" s="45">
        <v>30</v>
      </c>
      <c r="R31" s="45">
        <v>300</v>
      </c>
      <c r="S31" s="45"/>
      <c r="T31" s="45">
        <v>650</v>
      </c>
      <c r="U31" s="45"/>
      <c r="V31" s="45"/>
      <c r="W31" s="45"/>
      <c r="X31" s="45"/>
      <c r="Y31" s="45"/>
      <c r="Z31" s="45"/>
      <c r="AA31" s="45"/>
      <c r="AB31" s="45"/>
      <c r="AC31" s="45"/>
      <c r="AD31" s="45"/>
      <c r="AE31" s="45"/>
      <c r="AF31" s="45"/>
      <c r="AG31" s="45"/>
      <c r="AH31" s="45"/>
      <c r="AI31" s="45"/>
      <c r="AJ31" s="45"/>
      <c r="AK31" s="45"/>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row>
    <row r="32" spans="1:63" x14ac:dyDescent="0.25">
      <c r="A32" s="35" t="s">
        <v>42</v>
      </c>
      <c r="B32" s="55" t="s">
        <v>47</v>
      </c>
      <c r="C32" s="285">
        <f>SUM(AllMix[[#This Row],[Black Sunflowers]:[Canary Mix]])</f>
        <v>1015</v>
      </c>
      <c r="D32" s="45"/>
      <c r="E32" s="45"/>
      <c r="F32" s="45"/>
      <c r="G32" s="45">
        <v>20</v>
      </c>
      <c r="H32" s="45">
        <v>60</v>
      </c>
      <c r="I32" s="45">
        <v>20</v>
      </c>
      <c r="J32" s="45"/>
      <c r="K32" s="45"/>
      <c r="L32" s="45"/>
      <c r="M32" s="45"/>
      <c r="N32" s="45">
        <v>400</v>
      </c>
      <c r="O32" s="45">
        <v>10</v>
      </c>
      <c r="P32" s="45">
        <v>100</v>
      </c>
      <c r="Q32" s="45">
        <v>60</v>
      </c>
      <c r="R32" s="45">
        <v>100</v>
      </c>
      <c r="S32" s="45">
        <v>25</v>
      </c>
      <c r="T32" s="45"/>
      <c r="U32" s="45">
        <v>10</v>
      </c>
      <c r="V32" s="45">
        <v>60</v>
      </c>
      <c r="W32" s="45">
        <v>50</v>
      </c>
      <c r="X32" s="45">
        <v>100</v>
      </c>
      <c r="Y32" s="45"/>
      <c r="Z32" s="45"/>
      <c r="AA32" s="45"/>
      <c r="AB32" s="45"/>
      <c r="AC32" s="45"/>
      <c r="AD32" s="45"/>
      <c r="AE32" s="45"/>
      <c r="AF32" s="45"/>
      <c r="AG32" s="45"/>
      <c r="AH32" s="45"/>
      <c r="AI32" s="45"/>
      <c r="AJ32" s="45"/>
      <c r="AK32" s="45"/>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row>
    <row r="33" spans="1:63" x14ac:dyDescent="0.25">
      <c r="A33" s="35" t="s">
        <v>42</v>
      </c>
      <c r="B33" s="55" t="s">
        <v>272</v>
      </c>
      <c r="C33" s="285">
        <f>SUM(AllMix[[#This Row],[Black Sunflowers]:[Canary Mix]])</f>
        <v>1080</v>
      </c>
      <c r="D33" s="45"/>
      <c r="E33" s="45"/>
      <c r="F33" s="45"/>
      <c r="G33" s="45"/>
      <c r="H33" s="45"/>
      <c r="I33" s="45"/>
      <c r="J33" s="45">
        <v>70</v>
      </c>
      <c r="K33" s="45"/>
      <c r="L33" s="45"/>
      <c r="M33" s="45"/>
      <c r="N33" s="45">
        <v>30</v>
      </c>
      <c r="O33" s="45"/>
      <c r="P33" s="45">
        <v>0</v>
      </c>
      <c r="Q33" s="45">
        <v>30</v>
      </c>
      <c r="R33" s="45">
        <v>300</v>
      </c>
      <c r="S33" s="45"/>
      <c r="T33" s="45">
        <v>650</v>
      </c>
      <c r="U33" s="45"/>
      <c r="V33" s="45"/>
      <c r="W33" s="45"/>
      <c r="X33" s="45"/>
      <c r="Y33" s="45"/>
      <c r="Z33" s="45"/>
      <c r="AA33" s="45"/>
      <c r="AB33" s="45"/>
      <c r="AC33" s="45"/>
      <c r="AD33" s="45"/>
      <c r="AE33" s="45"/>
      <c r="AF33" s="45"/>
      <c r="AG33" s="45"/>
      <c r="AH33" s="45"/>
      <c r="AI33" s="45"/>
      <c r="AJ33" s="45"/>
      <c r="AK33" s="45"/>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row>
    <row r="34" spans="1:63" x14ac:dyDescent="0.25">
      <c r="A34" s="35" t="s">
        <v>42</v>
      </c>
      <c r="B34" s="55" t="s">
        <v>479</v>
      </c>
      <c r="C34" s="285">
        <f>SUM(AllMix[[#This Row],[Black Sunflowers]:[Canary Mix]])</f>
        <v>1055</v>
      </c>
      <c r="D34" s="45"/>
      <c r="E34" s="45"/>
      <c r="F34" s="45"/>
      <c r="G34" s="45"/>
      <c r="H34" s="45">
        <v>30</v>
      </c>
      <c r="I34" s="45"/>
      <c r="J34" s="45">
        <v>340</v>
      </c>
      <c r="K34" s="45"/>
      <c r="L34" s="45"/>
      <c r="M34" s="45"/>
      <c r="N34" s="45">
        <v>175</v>
      </c>
      <c r="O34" s="45"/>
      <c r="P34" s="45"/>
      <c r="Q34" s="45">
        <v>80</v>
      </c>
      <c r="R34" s="45">
        <v>160</v>
      </c>
      <c r="S34" s="45">
        <v>20</v>
      </c>
      <c r="T34" s="45"/>
      <c r="U34" s="45"/>
      <c r="V34" s="45"/>
      <c r="W34" s="45">
        <v>50</v>
      </c>
      <c r="X34" s="45">
        <v>200</v>
      </c>
      <c r="Y34" s="45"/>
      <c r="Z34" s="45"/>
      <c r="AA34" s="45"/>
      <c r="AB34" s="45"/>
      <c r="AC34" s="45"/>
      <c r="AD34" s="45"/>
      <c r="AE34" s="45"/>
      <c r="AF34" s="45"/>
      <c r="AG34" s="45"/>
      <c r="AH34" s="45"/>
      <c r="AI34" s="45"/>
      <c r="AJ34" s="45"/>
      <c r="AK34" s="45"/>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row>
    <row r="35" spans="1:63" x14ac:dyDescent="0.25">
      <c r="A35" s="35" t="s">
        <v>42</v>
      </c>
      <c r="B35" s="55" t="s">
        <v>480</v>
      </c>
      <c r="C35" s="285">
        <f>SUM(AllMix[[#This Row],[Black Sunflowers]:[Canary Mix]])</f>
        <v>1000</v>
      </c>
      <c r="D35" s="45"/>
      <c r="E35" s="45"/>
      <c r="F35" s="45"/>
      <c r="G35" s="45"/>
      <c r="H35" s="45"/>
      <c r="I35" s="45">
        <v>25</v>
      </c>
      <c r="J35" s="45"/>
      <c r="K35" s="45"/>
      <c r="L35" s="45"/>
      <c r="M35" s="45"/>
      <c r="N35" s="45"/>
      <c r="O35" s="45">
        <v>20</v>
      </c>
      <c r="P35" s="45"/>
      <c r="Q35" s="45">
        <v>100</v>
      </c>
      <c r="R35" s="45">
        <v>100</v>
      </c>
      <c r="S35" s="45">
        <v>25</v>
      </c>
      <c r="T35" s="45"/>
      <c r="U35" s="45">
        <v>20</v>
      </c>
      <c r="V35" s="45">
        <v>380</v>
      </c>
      <c r="W35" s="45">
        <v>50</v>
      </c>
      <c r="X35" s="45">
        <v>280</v>
      </c>
      <c r="Y35" s="45"/>
      <c r="Z35" s="45"/>
      <c r="AA35" s="45"/>
      <c r="AB35" s="45"/>
      <c r="AC35" s="45"/>
      <c r="AD35" s="45"/>
      <c r="AE35" s="45"/>
      <c r="AF35" s="45"/>
      <c r="AG35" s="45"/>
      <c r="AH35" s="45"/>
      <c r="AI35" s="45"/>
      <c r="AJ35" s="45"/>
      <c r="AK35" s="45"/>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row>
    <row r="36" spans="1:63" x14ac:dyDescent="0.25">
      <c r="A36" s="35" t="s">
        <v>42</v>
      </c>
      <c r="B36" s="55" t="s">
        <v>481</v>
      </c>
      <c r="C36" s="285">
        <f>SUM(AllMix[[#This Row],[Black Sunflowers]:[Canary Mix]])</f>
        <v>1095</v>
      </c>
      <c r="D36" s="45"/>
      <c r="E36" s="45"/>
      <c r="F36" s="45">
        <v>160</v>
      </c>
      <c r="G36" s="45"/>
      <c r="H36" s="45">
        <v>180</v>
      </c>
      <c r="I36" s="45">
        <v>75</v>
      </c>
      <c r="J36" s="45"/>
      <c r="K36" s="45"/>
      <c r="L36" s="45"/>
      <c r="M36" s="45"/>
      <c r="N36" s="45"/>
      <c r="O36" s="45">
        <v>180</v>
      </c>
      <c r="P36" s="45"/>
      <c r="Q36" s="45">
        <v>160</v>
      </c>
      <c r="R36" s="45">
        <v>160</v>
      </c>
      <c r="S36" s="45"/>
      <c r="T36" s="45"/>
      <c r="U36" s="45">
        <v>180</v>
      </c>
      <c r="V36" s="45"/>
      <c r="W36" s="45"/>
      <c r="X36" s="45"/>
      <c r="Y36" s="45"/>
      <c r="Z36" s="45"/>
      <c r="AA36" s="45"/>
      <c r="AB36" s="45"/>
      <c r="AC36" s="45"/>
      <c r="AD36" s="45"/>
      <c r="AE36" s="45"/>
      <c r="AF36" s="45"/>
      <c r="AG36" s="45"/>
      <c r="AH36" s="45"/>
      <c r="AI36" s="45"/>
      <c r="AJ36" s="45"/>
      <c r="AK36" s="45"/>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row>
    <row r="37" spans="1:63" x14ac:dyDescent="0.25">
      <c r="A37" s="35" t="s">
        <v>42</v>
      </c>
      <c r="B37" s="55" t="s">
        <v>490</v>
      </c>
      <c r="C37" s="285">
        <f>SUM(AllMix[[#This Row],[Black Sunflowers]:[Canary Mix]])</f>
        <v>1000</v>
      </c>
      <c r="D37" s="45"/>
      <c r="E37" s="45"/>
      <c r="F37" s="45"/>
      <c r="G37" s="45"/>
      <c r="H37" s="45"/>
      <c r="I37" s="45"/>
      <c r="J37" s="45">
        <v>200</v>
      </c>
      <c r="K37" s="45"/>
      <c r="L37" s="45"/>
      <c r="M37" s="45"/>
      <c r="N37" s="45">
        <v>200</v>
      </c>
      <c r="O37" s="45"/>
      <c r="P37" s="45"/>
      <c r="Q37" s="45">
        <v>200</v>
      </c>
      <c r="R37" s="45">
        <v>200</v>
      </c>
      <c r="S37" s="45"/>
      <c r="T37" s="45"/>
      <c r="U37" s="45"/>
      <c r="V37" s="45"/>
      <c r="W37" s="45"/>
      <c r="X37" s="45">
        <v>200</v>
      </c>
      <c r="Y37" s="45"/>
      <c r="Z37" s="45"/>
      <c r="AA37" s="45"/>
      <c r="AB37" s="45"/>
      <c r="AC37" s="45"/>
      <c r="AD37" s="45"/>
      <c r="AE37" s="45"/>
      <c r="AF37" s="45"/>
      <c r="AG37" s="45"/>
      <c r="AH37" s="45"/>
      <c r="AI37" s="45"/>
      <c r="AJ37" s="45"/>
      <c r="AK37" s="45"/>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row>
    <row r="38" spans="1:63" s="59" customFormat="1" x14ac:dyDescent="0.25">
      <c r="A38" s="35" t="s">
        <v>445</v>
      </c>
      <c r="B38" s="55" t="s">
        <v>491</v>
      </c>
      <c r="C38" s="285">
        <f>SUM(AllMix[[#This Row],[Black Sunflowers]:[Canary Mix]])</f>
        <v>2040</v>
      </c>
      <c r="D38" s="45">
        <v>80</v>
      </c>
      <c r="E38" s="45"/>
      <c r="F38" s="45"/>
      <c r="G38" s="45"/>
      <c r="H38" s="45"/>
      <c r="I38" s="45"/>
      <c r="J38" s="45"/>
      <c r="K38" s="45"/>
      <c r="L38" s="45"/>
      <c r="M38" s="45"/>
      <c r="N38" s="45"/>
      <c r="O38" s="45"/>
      <c r="P38" s="45"/>
      <c r="Q38" s="45"/>
      <c r="R38" s="45">
        <v>480</v>
      </c>
      <c r="S38" s="45"/>
      <c r="T38" s="45">
        <v>480</v>
      </c>
      <c r="U38" s="45"/>
      <c r="V38" s="45"/>
      <c r="W38" s="45"/>
      <c r="X38" s="45"/>
      <c r="Y38" s="45"/>
      <c r="Z38" s="45"/>
      <c r="AA38" s="45"/>
      <c r="AB38" s="45"/>
      <c r="AC38" s="45"/>
      <c r="AD38" s="45"/>
      <c r="AE38" s="45"/>
      <c r="AF38" s="45"/>
      <c r="AG38" s="45"/>
      <c r="AH38" s="45"/>
      <c r="AI38" s="45"/>
      <c r="AJ38" s="45"/>
      <c r="AK38" s="45"/>
      <c r="AL38" s="57">
        <v>1000</v>
      </c>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row>
    <row r="39" spans="1:63" x14ac:dyDescent="0.25">
      <c r="A39" s="35" t="s">
        <v>445</v>
      </c>
      <c r="B39" s="55" t="s">
        <v>492</v>
      </c>
      <c r="C39" s="285">
        <f>SUM(AllMix[[#This Row],[Black Sunflowers]:[Canary Mix]])</f>
        <v>1300</v>
      </c>
      <c r="D39" s="45"/>
      <c r="E39" s="45"/>
      <c r="F39" s="45"/>
      <c r="G39" s="45"/>
      <c r="H39" s="45">
        <v>400</v>
      </c>
      <c r="I39" s="45"/>
      <c r="J39" s="45"/>
      <c r="K39" s="45"/>
      <c r="L39" s="45"/>
      <c r="M39" s="45">
        <v>150</v>
      </c>
      <c r="N39" s="45"/>
      <c r="O39" s="45"/>
      <c r="P39" s="45"/>
      <c r="Q39" s="45"/>
      <c r="R39" s="45"/>
      <c r="S39" s="45"/>
      <c r="T39" s="45"/>
      <c r="U39" s="45">
        <v>750</v>
      </c>
      <c r="V39" s="45"/>
      <c r="W39" s="45"/>
      <c r="X39" s="45"/>
      <c r="Y39" s="45"/>
      <c r="Z39" s="45"/>
      <c r="AA39" s="45"/>
      <c r="AB39" s="45"/>
      <c r="AC39" s="45"/>
      <c r="AD39" s="45"/>
      <c r="AE39" s="45"/>
      <c r="AF39" s="45"/>
      <c r="AG39" s="45"/>
      <c r="AH39" s="45"/>
      <c r="AI39" s="45"/>
      <c r="AJ39" s="45"/>
      <c r="AK39" s="45"/>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row>
    <row r="40" spans="1:63" x14ac:dyDescent="0.25">
      <c r="A40" s="35" t="s">
        <v>445</v>
      </c>
      <c r="B40" s="55" t="s">
        <v>493</v>
      </c>
      <c r="C40" s="285">
        <f>SUM(AllMix[[#This Row],[Black Sunflowers]:[Canary Mix]])</f>
        <v>1105</v>
      </c>
      <c r="D40" s="45"/>
      <c r="E40" s="45"/>
      <c r="F40" s="45"/>
      <c r="G40" s="45">
        <v>200</v>
      </c>
      <c r="H40" s="45">
        <v>200</v>
      </c>
      <c r="I40" s="45"/>
      <c r="J40" s="45"/>
      <c r="K40" s="45"/>
      <c r="L40" s="45"/>
      <c r="M40" s="45">
        <v>125</v>
      </c>
      <c r="N40" s="45"/>
      <c r="O40" s="45">
        <v>200</v>
      </c>
      <c r="P40" s="45"/>
      <c r="Q40" s="45">
        <v>80</v>
      </c>
      <c r="R40" s="45"/>
      <c r="S40" s="45"/>
      <c r="T40" s="45"/>
      <c r="U40" s="45">
        <v>300</v>
      </c>
      <c r="V40" s="45"/>
      <c r="W40" s="45"/>
      <c r="X40" s="45"/>
      <c r="Y40" s="45"/>
      <c r="Z40" s="45"/>
      <c r="AA40" s="45"/>
      <c r="AB40" s="45"/>
      <c r="AC40" s="45"/>
      <c r="AD40" s="45"/>
      <c r="AE40" s="45"/>
      <c r="AF40" s="45"/>
      <c r="AG40" s="45"/>
      <c r="AH40" s="45"/>
      <c r="AI40" s="45"/>
      <c r="AJ40" s="45"/>
      <c r="AK40" s="45"/>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row>
    <row r="41" spans="1:63" s="59" customFormat="1" x14ac:dyDescent="0.25">
      <c r="A41" s="56" t="s">
        <v>445</v>
      </c>
      <c r="B41" s="55" t="s">
        <v>494</v>
      </c>
      <c r="C41" s="285">
        <f>SUM(AllMix[[#This Row],[Black Sunflowers]:[Canary Mix]])</f>
        <v>1290</v>
      </c>
      <c r="D41" s="45"/>
      <c r="E41" s="45"/>
      <c r="F41" s="45"/>
      <c r="G41" s="45">
        <v>210</v>
      </c>
      <c r="H41" s="45"/>
      <c r="I41" s="45"/>
      <c r="J41" s="45"/>
      <c r="K41" s="45">
        <v>150</v>
      </c>
      <c r="L41" s="45"/>
      <c r="M41" s="45"/>
      <c r="N41" s="45"/>
      <c r="O41" s="45"/>
      <c r="P41" s="45"/>
      <c r="Q41" s="45">
        <v>50</v>
      </c>
      <c r="R41" s="45">
        <v>200</v>
      </c>
      <c r="S41" s="45"/>
      <c r="T41" s="45">
        <v>600</v>
      </c>
      <c r="U41" s="45"/>
      <c r="V41" s="45"/>
      <c r="W41" s="45"/>
      <c r="X41" s="45"/>
      <c r="Y41" s="45"/>
      <c r="Z41" s="45">
        <v>80</v>
      </c>
      <c r="AA41" s="45"/>
      <c r="AB41" s="45"/>
      <c r="AC41" s="45"/>
      <c r="AD41" s="45"/>
      <c r="AE41" s="45"/>
      <c r="AF41" s="45"/>
      <c r="AG41" s="45"/>
      <c r="AH41" s="45"/>
      <c r="AI41" s="45"/>
      <c r="AJ41" s="45"/>
      <c r="AK41" s="45"/>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row>
    <row r="42" spans="1:63" x14ac:dyDescent="0.25">
      <c r="A42" s="35" t="s">
        <v>445</v>
      </c>
      <c r="B42" s="55" t="s">
        <v>495</v>
      </c>
      <c r="C42" s="285">
        <f>SUM(AllMix[[#This Row],[Black Sunflowers]:[Canary Mix]])</f>
        <v>1480</v>
      </c>
      <c r="D42" s="45">
        <v>180</v>
      </c>
      <c r="E42" s="45"/>
      <c r="F42" s="45"/>
      <c r="G42" s="45">
        <v>20</v>
      </c>
      <c r="H42" s="45"/>
      <c r="I42" s="45"/>
      <c r="J42" s="45">
        <v>100</v>
      </c>
      <c r="K42" s="45">
        <v>300</v>
      </c>
      <c r="L42" s="45"/>
      <c r="M42" s="45"/>
      <c r="N42" s="45">
        <v>20</v>
      </c>
      <c r="O42" s="45"/>
      <c r="P42" s="45"/>
      <c r="Q42" s="45">
        <v>60</v>
      </c>
      <c r="R42" s="45">
        <v>200</v>
      </c>
      <c r="S42" s="45"/>
      <c r="T42" s="45">
        <v>600</v>
      </c>
      <c r="U42" s="45"/>
      <c r="V42" s="45"/>
      <c r="W42" s="45"/>
      <c r="X42" s="45"/>
      <c r="Y42" s="45"/>
      <c r="Z42" s="45"/>
      <c r="AA42" s="45"/>
      <c r="AB42" s="45"/>
      <c r="AC42" s="45"/>
      <c r="AD42" s="45"/>
      <c r="AE42" s="45"/>
      <c r="AF42" s="45"/>
      <c r="AG42" s="45"/>
      <c r="AH42" s="45"/>
      <c r="AI42" s="45"/>
      <c r="AJ42" s="45"/>
      <c r="AK42" s="45"/>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row>
    <row r="43" spans="1:63" s="59" customFormat="1" x14ac:dyDescent="0.25">
      <c r="A43" s="56" t="s">
        <v>447</v>
      </c>
      <c r="B43" s="55" t="s">
        <v>542</v>
      </c>
      <c r="C43" s="285">
        <f>SUM(AllMix[[#This Row],[Black Sunflowers]:[Canary Mix]])</f>
        <v>1210</v>
      </c>
      <c r="D43" s="45">
        <v>20</v>
      </c>
      <c r="E43" s="45">
        <v>3</v>
      </c>
      <c r="F43" s="45"/>
      <c r="G43" s="45"/>
      <c r="H43" s="45"/>
      <c r="I43" s="45"/>
      <c r="J43" s="45"/>
      <c r="K43" s="45"/>
      <c r="L43" s="45"/>
      <c r="M43" s="45"/>
      <c r="N43" s="45"/>
      <c r="O43" s="45"/>
      <c r="P43" s="45"/>
      <c r="Q43" s="45"/>
      <c r="R43" s="45">
        <v>100</v>
      </c>
      <c r="S43" s="45"/>
      <c r="T43" s="45">
        <v>560</v>
      </c>
      <c r="U43" s="45"/>
      <c r="V43" s="45">
        <v>80</v>
      </c>
      <c r="W43" s="45"/>
      <c r="X43" s="45"/>
      <c r="Y43" s="45"/>
      <c r="Z43" s="45">
        <v>210</v>
      </c>
      <c r="AA43" s="45">
        <v>25</v>
      </c>
      <c r="AB43" s="45">
        <v>85</v>
      </c>
      <c r="AC43" s="45">
        <v>12</v>
      </c>
      <c r="AD43" s="45">
        <v>50</v>
      </c>
      <c r="AE43" s="45">
        <v>21</v>
      </c>
      <c r="AF43" s="45">
        <v>1</v>
      </c>
      <c r="AG43" s="45">
        <v>40</v>
      </c>
      <c r="AH43" s="45">
        <v>3</v>
      </c>
      <c r="AI43" s="45"/>
      <c r="AJ43" s="45"/>
      <c r="AK43" s="45"/>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row>
    <row r="44" spans="1:63" x14ac:dyDescent="0.25">
      <c r="A44" s="35" t="s">
        <v>447</v>
      </c>
      <c r="B44" s="55" t="s">
        <v>380</v>
      </c>
      <c r="C44" s="285">
        <f>SUM(AllMix[[#This Row],[Black Sunflowers]:[Canary Mix]])</f>
        <v>1055</v>
      </c>
      <c r="D44" s="45">
        <v>20</v>
      </c>
      <c r="E44" s="45"/>
      <c r="F44" s="45"/>
      <c r="G44" s="45"/>
      <c r="H44" s="45"/>
      <c r="I44" s="45"/>
      <c r="J44" s="45"/>
      <c r="K44" s="45"/>
      <c r="L44" s="45"/>
      <c r="M44" s="45"/>
      <c r="N44" s="45"/>
      <c r="O44" s="45"/>
      <c r="P44" s="45"/>
      <c r="Q44" s="45"/>
      <c r="R44" s="45">
        <v>100</v>
      </c>
      <c r="S44" s="45"/>
      <c r="T44" s="45">
        <v>560</v>
      </c>
      <c r="U44" s="45"/>
      <c r="V44" s="45">
        <v>80</v>
      </c>
      <c r="W44" s="45"/>
      <c r="X44" s="45"/>
      <c r="Y44" s="45"/>
      <c r="Z44" s="45">
        <v>210</v>
      </c>
      <c r="AA44" s="45"/>
      <c r="AB44" s="45">
        <v>85</v>
      </c>
      <c r="AC44" s="45"/>
      <c r="AD44" s="45"/>
      <c r="AE44" s="45"/>
      <c r="AF44" s="45"/>
      <c r="AG44" s="45"/>
      <c r="AH44" s="45"/>
      <c r="AI44" s="45"/>
      <c r="AJ44" s="45"/>
      <c r="AK44" s="45"/>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row>
    <row r="45" spans="1:63" x14ac:dyDescent="0.25">
      <c r="A45" s="35" t="s">
        <v>447</v>
      </c>
      <c r="B45" s="55" t="s">
        <v>394</v>
      </c>
      <c r="C45" s="285">
        <f>SUM(AllMix[[#This Row],[Black Sunflowers]:[Canary Mix]])</f>
        <v>1000</v>
      </c>
      <c r="D45" s="45">
        <v>25</v>
      </c>
      <c r="E45" s="45"/>
      <c r="F45" s="45"/>
      <c r="G45" s="45"/>
      <c r="H45" s="45"/>
      <c r="I45" s="45"/>
      <c r="J45" s="45"/>
      <c r="K45" s="45"/>
      <c r="L45" s="45"/>
      <c r="M45" s="45"/>
      <c r="N45" s="45"/>
      <c r="O45" s="45"/>
      <c r="P45" s="45"/>
      <c r="Q45" s="45"/>
      <c r="R45" s="45">
        <v>210</v>
      </c>
      <c r="S45" s="45"/>
      <c r="T45" s="45">
        <v>350</v>
      </c>
      <c r="U45" s="45"/>
      <c r="V45" s="45">
        <v>180</v>
      </c>
      <c r="W45" s="45"/>
      <c r="X45" s="45"/>
      <c r="Y45" s="45"/>
      <c r="Z45" s="45">
        <v>125</v>
      </c>
      <c r="AA45" s="45"/>
      <c r="AB45" s="45">
        <v>110</v>
      </c>
      <c r="AC45" s="45"/>
      <c r="AD45" s="45"/>
      <c r="AE45" s="45"/>
      <c r="AF45" s="45"/>
      <c r="AG45" s="45"/>
      <c r="AH45" s="45"/>
      <c r="AI45" s="45"/>
      <c r="AJ45" s="45"/>
      <c r="AK45" s="45"/>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row>
    <row r="46" spans="1:63" x14ac:dyDescent="0.25">
      <c r="A46" s="35" t="s">
        <v>443</v>
      </c>
      <c r="B46" s="55" t="s">
        <v>528</v>
      </c>
      <c r="C46" s="285">
        <f>SUM(AllMix[[#This Row],[Black Sunflowers]:[Canary Mix]])</f>
        <v>1000</v>
      </c>
      <c r="D46" s="45">
        <v>25</v>
      </c>
      <c r="E46" s="45"/>
      <c r="F46" s="45"/>
      <c r="G46" s="45"/>
      <c r="H46" s="45"/>
      <c r="I46" s="45"/>
      <c r="J46" s="45"/>
      <c r="K46" s="45">
        <v>120</v>
      </c>
      <c r="L46" s="45"/>
      <c r="M46" s="45"/>
      <c r="N46" s="45"/>
      <c r="O46" s="45"/>
      <c r="P46" s="45"/>
      <c r="Q46" s="45"/>
      <c r="R46" s="45">
        <v>250</v>
      </c>
      <c r="S46" s="45"/>
      <c r="T46" s="45">
        <v>235</v>
      </c>
      <c r="U46" s="45"/>
      <c r="V46" s="45">
        <v>290</v>
      </c>
      <c r="W46" s="45"/>
      <c r="X46" s="45"/>
      <c r="Y46" s="45"/>
      <c r="Z46" s="45">
        <v>80</v>
      </c>
      <c r="AA46" s="45"/>
      <c r="AB46" s="45"/>
      <c r="AC46" s="45"/>
      <c r="AD46" s="45"/>
      <c r="AE46" s="45"/>
      <c r="AF46" s="45"/>
      <c r="AG46" s="45"/>
      <c r="AH46" s="45"/>
      <c r="AI46" s="45"/>
      <c r="AJ46" s="45"/>
      <c r="AK46" s="45"/>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row>
    <row r="47" spans="1:63" x14ac:dyDescent="0.25">
      <c r="A47" s="35" t="s">
        <v>443</v>
      </c>
      <c r="B47" s="55" t="s">
        <v>527</v>
      </c>
      <c r="C47" s="285">
        <f>SUM(AllMix[[#This Row],[Black Sunflowers]:[Canary Mix]])</f>
        <v>1000</v>
      </c>
      <c r="D47" s="45">
        <v>25</v>
      </c>
      <c r="E47" s="45"/>
      <c r="F47" s="45"/>
      <c r="G47" s="45"/>
      <c r="H47" s="45"/>
      <c r="I47" s="45"/>
      <c r="J47" s="45"/>
      <c r="K47" s="45"/>
      <c r="L47" s="45"/>
      <c r="M47" s="45"/>
      <c r="N47" s="45"/>
      <c r="O47" s="45"/>
      <c r="P47" s="45"/>
      <c r="Q47" s="45"/>
      <c r="R47" s="45">
        <v>210</v>
      </c>
      <c r="S47" s="45"/>
      <c r="T47" s="45">
        <v>250</v>
      </c>
      <c r="U47" s="45"/>
      <c r="V47" s="45">
        <v>250</v>
      </c>
      <c r="W47" s="45"/>
      <c r="X47" s="45"/>
      <c r="Y47" s="45"/>
      <c r="Z47" s="45">
        <v>130</v>
      </c>
      <c r="AA47" s="45"/>
      <c r="AB47" s="45">
        <v>110</v>
      </c>
      <c r="AC47" s="45"/>
      <c r="AD47" s="45">
        <v>25</v>
      </c>
      <c r="AE47" s="45"/>
      <c r="AF47" s="45"/>
      <c r="AG47" s="45"/>
      <c r="AH47" s="45"/>
      <c r="AI47" s="45"/>
      <c r="AJ47" s="45"/>
      <c r="AK47" s="45"/>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row>
    <row r="48" spans="1:63" x14ac:dyDescent="0.25">
      <c r="A48" s="35" t="s">
        <v>443</v>
      </c>
      <c r="B48" s="55" t="s">
        <v>529</v>
      </c>
      <c r="C48" s="285">
        <f>SUM(AllMix[[#This Row],[Black Sunflowers]:[Canary Mix]])</f>
        <v>1000</v>
      </c>
      <c r="D48" s="45">
        <v>25</v>
      </c>
      <c r="E48" s="45"/>
      <c r="F48" s="45"/>
      <c r="G48" s="45"/>
      <c r="H48" s="45"/>
      <c r="I48" s="45"/>
      <c r="J48" s="45"/>
      <c r="K48" s="45"/>
      <c r="L48" s="45"/>
      <c r="M48" s="45"/>
      <c r="N48" s="45"/>
      <c r="O48" s="45"/>
      <c r="P48" s="45"/>
      <c r="Q48" s="45"/>
      <c r="R48" s="45">
        <v>140</v>
      </c>
      <c r="S48" s="45"/>
      <c r="T48" s="45">
        <v>195</v>
      </c>
      <c r="U48" s="45"/>
      <c r="V48" s="45">
        <v>195</v>
      </c>
      <c r="W48" s="45"/>
      <c r="X48" s="45"/>
      <c r="Y48" s="45"/>
      <c r="Z48" s="45">
        <v>70</v>
      </c>
      <c r="AA48" s="45"/>
      <c r="AB48" s="45">
        <v>125</v>
      </c>
      <c r="AC48" s="45"/>
      <c r="AD48" s="45"/>
      <c r="AE48" s="45"/>
      <c r="AF48" s="45"/>
      <c r="AG48" s="45"/>
      <c r="AH48" s="45"/>
      <c r="AI48" s="45"/>
      <c r="AJ48" s="45">
        <v>250</v>
      </c>
      <c r="AK48" s="45"/>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row>
    <row r="49" spans="1:63" x14ac:dyDescent="0.25">
      <c r="A49" s="35" t="s">
        <v>443</v>
      </c>
      <c r="B49" s="55" t="s">
        <v>531</v>
      </c>
      <c r="C49" s="285">
        <f>SUM(AllMix[[#This Row],[Black Sunflowers]:[Canary Mix]])</f>
        <v>1000</v>
      </c>
      <c r="D49" s="45"/>
      <c r="E49" s="45"/>
      <c r="F49" s="45"/>
      <c r="G49" s="45">
        <v>25</v>
      </c>
      <c r="H49" s="45"/>
      <c r="I49" s="45"/>
      <c r="J49" s="45">
        <v>170</v>
      </c>
      <c r="K49" s="45"/>
      <c r="L49" s="45"/>
      <c r="M49" s="45"/>
      <c r="N49" s="45">
        <v>290</v>
      </c>
      <c r="O49" s="45"/>
      <c r="P49" s="45"/>
      <c r="Q49" s="45"/>
      <c r="R49" s="45">
        <v>225</v>
      </c>
      <c r="S49" s="45"/>
      <c r="T49" s="45">
        <v>290</v>
      </c>
      <c r="U49" s="45"/>
      <c r="V49" s="45"/>
      <c r="W49" s="45"/>
      <c r="X49" s="45"/>
      <c r="Y49" s="45"/>
      <c r="Z49" s="45"/>
      <c r="AA49" s="45"/>
      <c r="AB49" s="45"/>
      <c r="AC49" s="45"/>
      <c r="AD49" s="45"/>
      <c r="AE49" s="45"/>
      <c r="AF49" s="45"/>
      <c r="AG49" s="45"/>
      <c r="AH49" s="45"/>
      <c r="AI49" s="45"/>
      <c r="AJ49" s="45"/>
      <c r="AK49" s="45"/>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row>
    <row r="50" spans="1:63" x14ac:dyDescent="0.25">
      <c r="A50" s="35" t="s">
        <v>443</v>
      </c>
      <c r="B50" s="55" t="s">
        <v>530</v>
      </c>
      <c r="C50" s="285">
        <f>SUM(AllMix[[#This Row],[Black Sunflowers]:[Canary Mix]])</f>
        <v>1000</v>
      </c>
      <c r="D50" s="45"/>
      <c r="E50" s="45"/>
      <c r="F50" s="45"/>
      <c r="G50" s="45"/>
      <c r="H50" s="45"/>
      <c r="I50" s="45"/>
      <c r="J50" s="45"/>
      <c r="K50" s="45"/>
      <c r="L50" s="45"/>
      <c r="M50" s="45"/>
      <c r="N50" s="45"/>
      <c r="O50" s="45"/>
      <c r="P50" s="45"/>
      <c r="Q50" s="45"/>
      <c r="R50" s="45"/>
      <c r="S50" s="45"/>
      <c r="T50" s="45">
        <v>1000</v>
      </c>
      <c r="U50" s="45"/>
      <c r="V50" s="45"/>
      <c r="W50" s="45"/>
      <c r="X50" s="45"/>
      <c r="Y50" s="45"/>
      <c r="Z50" s="45"/>
      <c r="AA50" s="45"/>
      <c r="AB50" s="45"/>
      <c r="AC50" s="45"/>
      <c r="AD50" s="45"/>
      <c r="AE50" s="45"/>
      <c r="AF50" s="45"/>
      <c r="AG50" s="45"/>
      <c r="AH50" s="45"/>
      <c r="AI50" s="45"/>
      <c r="AJ50" s="45"/>
      <c r="AK50" s="45"/>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row>
    <row r="51" spans="1:63" x14ac:dyDescent="0.25">
      <c r="A51" s="35" t="s">
        <v>451</v>
      </c>
      <c r="B51" s="55" t="s">
        <v>290</v>
      </c>
      <c r="C51" s="285">
        <f>SUM(AllMix[[#This Row],[Black Sunflowers]:[Canary Mix]])</f>
        <v>940</v>
      </c>
      <c r="D51" s="45"/>
      <c r="E51" s="45"/>
      <c r="F51" s="45"/>
      <c r="G51" s="45"/>
      <c r="H51" s="45">
        <v>240</v>
      </c>
      <c r="I51" s="45"/>
      <c r="J51" s="45"/>
      <c r="K51" s="45"/>
      <c r="L51" s="45"/>
      <c r="M51" s="45">
        <v>160</v>
      </c>
      <c r="N51" s="45"/>
      <c r="O51" s="45">
        <v>40</v>
      </c>
      <c r="P51" s="45"/>
      <c r="Q51" s="45"/>
      <c r="R51" s="45"/>
      <c r="S51" s="45"/>
      <c r="T51" s="45"/>
      <c r="U51" s="45">
        <v>500</v>
      </c>
      <c r="V51" s="45"/>
      <c r="W51" s="45"/>
      <c r="X51" s="45"/>
      <c r="Y51" s="45"/>
      <c r="Z51" s="45"/>
      <c r="AA51" s="45"/>
      <c r="AB51" s="45"/>
      <c r="AC51" s="45"/>
      <c r="AD51" s="45"/>
      <c r="AE51" s="45"/>
      <c r="AF51" s="45"/>
      <c r="AG51" s="45"/>
      <c r="AH51" s="45"/>
      <c r="AI51" s="45"/>
      <c r="AJ51" s="45"/>
      <c r="AK51" s="45"/>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row>
    <row r="52" spans="1:63" x14ac:dyDescent="0.25">
      <c r="A52" s="35" t="s">
        <v>451</v>
      </c>
      <c r="B52" s="55" t="s">
        <v>291</v>
      </c>
      <c r="C52" s="285">
        <f>SUM(AllMix[[#This Row],[Black Sunflowers]:[Canary Mix]])</f>
        <v>450</v>
      </c>
      <c r="D52" s="45"/>
      <c r="E52" s="45"/>
      <c r="F52" s="45">
        <v>20</v>
      </c>
      <c r="G52" s="45"/>
      <c r="H52" s="45">
        <v>120</v>
      </c>
      <c r="I52" s="45">
        <v>10</v>
      </c>
      <c r="J52" s="45"/>
      <c r="K52" s="45"/>
      <c r="L52" s="45"/>
      <c r="M52" s="45">
        <v>100</v>
      </c>
      <c r="N52" s="45"/>
      <c r="O52" s="45">
        <v>200</v>
      </c>
      <c r="P52" s="45"/>
      <c r="Q52" s="45"/>
      <c r="R52" s="45"/>
      <c r="S52" s="45"/>
      <c r="T52" s="45"/>
      <c r="U52" s="45"/>
      <c r="V52" s="45"/>
      <c r="W52" s="45"/>
      <c r="X52" s="45"/>
      <c r="Y52" s="45"/>
      <c r="Z52" s="45"/>
      <c r="AA52" s="45"/>
      <c r="AB52" s="45"/>
      <c r="AC52" s="45"/>
      <c r="AD52" s="45"/>
      <c r="AE52" s="45"/>
      <c r="AF52" s="45"/>
      <c r="AG52" s="45"/>
      <c r="AH52" s="45"/>
      <c r="AI52" s="45"/>
      <c r="AJ52" s="45"/>
      <c r="AK52" s="45"/>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row>
    <row r="53" spans="1:63" s="59" customFormat="1" x14ac:dyDescent="0.25">
      <c r="A53" s="56" t="s">
        <v>451</v>
      </c>
      <c r="B53" s="55" t="s">
        <v>532</v>
      </c>
      <c r="C53" s="285">
        <f>SUM(AllMix[[#This Row],[Black Sunflowers]:[Canary Mix]])</f>
        <v>1080</v>
      </c>
      <c r="D53" s="45">
        <v>20</v>
      </c>
      <c r="E53" s="45"/>
      <c r="F53" s="45"/>
      <c r="G53" s="45"/>
      <c r="H53" s="45"/>
      <c r="I53" s="45"/>
      <c r="J53" s="45"/>
      <c r="K53" s="45"/>
      <c r="L53" s="45"/>
      <c r="M53" s="45"/>
      <c r="N53" s="45"/>
      <c r="O53" s="45"/>
      <c r="P53" s="45"/>
      <c r="Q53" s="45"/>
      <c r="R53" s="45">
        <v>100</v>
      </c>
      <c r="S53" s="45"/>
      <c r="T53" s="45">
        <v>560</v>
      </c>
      <c r="U53" s="45"/>
      <c r="V53" s="45">
        <v>80</v>
      </c>
      <c r="W53" s="45"/>
      <c r="X53" s="45"/>
      <c r="Y53" s="45"/>
      <c r="Z53" s="45">
        <v>210</v>
      </c>
      <c r="AA53" s="45"/>
      <c r="AB53" s="120">
        <v>85</v>
      </c>
      <c r="AC53" s="45"/>
      <c r="AD53" s="45">
        <v>25</v>
      </c>
      <c r="AE53" s="45"/>
      <c r="AF53" s="45"/>
      <c r="AG53" s="45"/>
      <c r="AH53" s="45"/>
      <c r="AI53" s="45"/>
      <c r="AJ53" s="45"/>
      <c r="AK53" s="45"/>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row>
    <row r="54" spans="1:63" x14ac:dyDescent="0.25">
      <c r="A54" s="35" t="s">
        <v>451</v>
      </c>
      <c r="B54" s="55" t="s">
        <v>535</v>
      </c>
      <c r="C54" s="285">
        <f>SUM(AllMix[[#This Row],[Black Sunflowers]:[Canary Mix]])</f>
        <v>480</v>
      </c>
      <c r="D54" s="45"/>
      <c r="E54" s="45"/>
      <c r="F54" s="45">
        <v>10</v>
      </c>
      <c r="G54" s="45"/>
      <c r="H54" s="45">
        <v>120</v>
      </c>
      <c r="I54" s="45">
        <v>10</v>
      </c>
      <c r="J54" s="45"/>
      <c r="K54" s="45"/>
      <c r="L54" s="45"/>
      <c r="M54" s="45">
        <v>80</v>
      </c>
      <c r="N54" s="45"/>
      <c r="O54" s="45">
        <v>120</v>
      </c>
      <c r="P54" s="45"/>
      <c r="Q54" s="45"/>
      <c r="R54" s="45"/>
      <c r="S54" s="45"/>
      <c r="T54" s="45"/>
      <c r="U54" s="45">
        <v>140</v>
      </c>
      <c r="V54" s="45"/>
      <c r="W54" s="45"/>
      <c r="X54" s="45"/>
      <c r="Y54" s="45"/>
      <c r="Z54" s="45"/>
      <c r="AA54" s="45"/>
      <c r="AB54" s="45"/>
      <c r="AC54" s="45"/>
      <c r="AD54" s="45"/>
      <c r="AE54" s="45"/>
      <c r="AF54" s="45"/>
      <c r="AG54" s="45"/>
      <c r="AH54" s="45"/>
      <c r="AI54" s="45"/>
      <c r="AJ54" s="45"/>
      <c r="AK54" s="45"/>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row>
    <row r="55" spans="1:63" x14ac:dyDescent="0.25">
      <c r="A55" s="35" t="s">
        <v>451</v>
      </c>
      <c r="B55" s="55" t="s">
        <v>534</v>
      </c>
      <c r="C55" s="285">
        <f>SUM(AllMix[[#This Row],[Black Sunflowers]:[Canary Mix]])</f>
        <v>960</v>
      </c>
      <c r="D55" s="45">
        <v>60</v>
      </c>
      <c r="E55" s="45"/>
      <c r="F55" s="45"/>
      <c r="G55" s="45">
        <v>60</v>
      </c>
      <c r="H55" s="45">
        <v>220</v>
      </c>
      <c r="I55" s="45">
        <v>5</v>
      </c>
      <c r="J55" s="45"/>
      <c r="K55" s="45"/>
      <c r="L55" s="45"/>
      <c r="M55" s="45">
        <v>140</v>
      </c>
      <c r="N55" s="45"/>
      <c r="O55" s="45"/>
      <c r="P55" s="45"/>
      <c r="Q55" s="45">
        <v>40</v>
      </c>
      <c r="R55" s="45">
        <v>20</v>
      </c>
      <c r="S55" s="45"/>
      <c r="T55" s="45">
        <v>175</v>
      </c>
      <c r="U55" s="45">
        <v>240</v>
      </c>
      <c r="V55" s="45"/>
      <c r="W55" s="45"/>
      <c r="X55" s="45"/>
      <c r="Y55" s="45"/>
      <c r="Z55" s="45"/>
      <c r="AA55" s="45"/>
      <c r="AB55" s="45"/>
      <c r="AC55" s="45"/>
      <c r="AD55" s="45"/>
      <c r="AE55" s="45"/>
      <c r="AF55" s="45"/>
      <c r="AG55" s="45"/>
      <c r="AH55" s="45"/>
      <c r="AI55" s="45"/>
      <c r="AJ55" s="45"/>
      <c r="AK55" s="45"/>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row>
    <row r="56" spans="1:63" x14ac:dyDescent="0.25">
      <c r="A56" s="35" t="s">
        <v>451</v>
      </c>
      <c r="B56" s="55" t="s">
        <v>533</v>
      </c>
      <c r="C56" s="285">
        <f>SUM(AllMix[[#This Row],[Black Sunflowers]:[Canary Mix]])</f>
        <v>1005</v>
      </c>
      <c r="D56" s="45"/>
      <c r="E56" s="45"/>
      <c r="F56" s="45"/>
      <c r="G56" s="45"/>
      <c r="H56" s="45"/>
      <c r="I56" s="45"/>
      <c r="J56" s="45"/>
      <c r="K56" s="45"/>
      <c r="L56" s="45"/>
      <c r="M56" s="45"/>
      <c r="N56" s="45">
        <v>240</v>
      </c>
      <c r="O56" s="45"/>
      <c r="P56" s="45"/>
      <c r="Q56" s="45">
        <v>20</v>
      </c>
      <c r="R56" s="45">
        <v>180</v>
      </c>
      <c r="S56" s="45"/>
      <c r="T56" s="45">
        <v>425</v>
      </c>
      <c r="U56" s="45"/>
      <c r="V56" s="45"/>
      <c r="W56" s="45"/>
      <c r="X56" s="45"/>
      <c r="Y56" s="45"/>
      <c r="Z56" s="45">
        <v>140</v>
      </c>
      <c r="AA56" s="45"/>
      <c r="AB56" s="45"/>
      <c r="AC56" s="45"/>
      <c r="AD56" s="45"/>
      <c r="AE56" s="45"/>
      <c r="AF56" s="45"/>
      <c r="AG56" s="45"/>
      <c r="AH56" s="45"/>
      <c r="AI56" s="45"/>
      <c r="AJ56" s="45"/>
      <c r="AK56" s="45"/>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row>
    <row r="57" spans="1:63" x14ac:dyDescent="0.25">
      <c r="A57" s="35" t="s">
        <v>439</v>
      </c>
      <c r="B57" s="55" t="s">
        <v>499</v>
      </c>
      <c r="C57" s="285">
        <f>SUM(AllMix[[#This Row],[Black Sunflowers]:[Canary Mix]])</f>
        <v>104.75</v>
      </c>
      <c r="D57" s="45"/>
      <c r="E57" s="45">
        <v>1</v>
      </c>
      <c r="F57" s="45"/>
      <c r="G57" s="45"/>
      <c r="H57" s="45"/>
      <c r="I57" s="45"/>
      <c r="J57" s="45"/>
      <c r="K57" s="45"/>
      <c r="L57" s="45">
        <v>45</v>
      </c>
      <c r="M57" s="45"/>
      <c r="N57" s="45"/>
      <c r="O57" s="45"/>
      <c r="P57" s="45"/>
      <c r="Q57" s="45"/>
      <c r="R57" s="45"/>
      <c r="S57" s="45"/>
      <c r="T57" s="45"/>
      <c r="U57" s="45"/>
      <c r="V57" s="45"/>
      <c r="W57" s="45"/>
      <c r="X57" s="45"/>
      <c r="Y57" s="45"/>
      <c r="Z57" s="45"/>
      <c r="AA57" s="45"/>
      <c r="AB57" s="45">
        <v>8</v>
      </c>
      <c r="AC57" s="45"/>
      <c r="AD57" s="45"/>
      <c r="AE57" s="45">
        <v>5</v>
      </c>
      <c r="AF57" s="45"/>
      <c r="AG57" s="45"/>
      <c r="AH57" s="45">
        <v>0.75</v>
      </c>
      <c r="AI57" s="45">
        <v>0.75</v>
      </c>
      <c r="AJ57" s="45"/>
      <c r="AK57" s="45"/>
      <c r="AL57" s="45"/>
      <c r="AM57" s="57">
        <v>5</v>
      </c>
      <c r="AN57" s="57">
        <v>15</v>
      </c>
      <c r="AO57" s="57"/>
      <c r="AP57" s="57">
        <v>8</v>
      </c>
      <c r="AQ57" s="57"/>
      <c r="AR57" s="57">
        <v>16</v>
      </c>
      <c r="AS57" s="57"/>
      <c r="AT57" s="57"/>
      <c r="AU57" s="57"/>
      <c r="AV57" s="57"/>
      <c r="AW57" s="13"/>
      <c r="AX57" s="13"/>
      <c r="AY57" s="13"/>
      <c r="AZ57" s="13"/>
      <c r="BA57" s="13"/>
      <c r="BB57" s="13"/>
      <c r="BC57" s="13">
        <v>0.25</v>
      </c>
      <c r="BD57" s="13"/>
      <c r="BE57" s="13"/>
      <c r="BF57" s="13"/>
      <c r="BG57" s="39"/>
      <c r="BH57" s="39"/>
      <c r="BI57" s="39"/>
      <c r="BJ57" s="281"/>
      <c r="BK57" s="57"/>
    </row>
    <row r="58" spans="1:63" x14ac:dyDescent="0.25">
      <c r="A58" s="35" t="s">
        <v>439</v>
      </c>
      <c r="B58" s="55" t="s">
        <v>500</v>
      </c>
      <c r="C58" s="285">
        <f>SUM(AllMix[[#This Row],[Black Sunflowers]:[Canary Mix]])</f>
        <v>100.5</v>
      </c>
      <c r="D58" s="45"/>
      <c r="E58" s="45">
        <v>1</v>
      </c>
      <c r="F58" s="45"/>
      <c r="G58" s="45"/>
      <c r="H58" s="45"/>
      <c r="I58" s="45"/>
      <c r="J58" s="45"/>
      <c r="K58" s="45"/>
      <c r="L58" s="45">
        <v>31</v>
      </c>
      <c r="M58" s="45"/>
      <c r="N58" s="45"/>
      <c r="O58" s="45"/>
      <c r="P58" s="45"/>
      <c r="Q58" s="45"/>
      <c r="R58" s="45"/>
      <c r="S58" s="45"/>
      <c r="T58" s="45"/>
      <c r="U58" s="45"/>
      <c r="V58" s="45"/>
      <c r="W58" s="45"/>
      <c r="X58" s="45"/>
      <c r="Y58" s="45"/>
      <c r="Z58" s="45"/>
      <c r="AA58" s="45"/>
      <c r="AB58" s="45">
        <v>14</v>
      </c>
      <c r="AC58" s="45"/>
      <c r="AD58" s="45"/>
      <c r="AE58" s="45">
        <v>5</v>
      </c>
      <c r="AF58" s="45"/>
      <c r="AG58" s="45"/>
      <c r="AH58" s="45">
        <v>0.75</v>
      </c>
      <c r="AI58" s="45">
        <v>0.75</v>
      </c>
      <c r="AJ58" s="45"/>
      <c r="AK58" s="45"/>
      <c r="AL58" s="45"/>
      <c r="AM58" s="57">
        <v>10</v>
      </c>
      <c r="AN58" s="57">
        <v>10</v>
      </c>
      <c r="AO58" s="57"/>
      <c r="AP58" s="57">
        <v>8</v>
      </c>
      <c r="AQ58" s="57"/>
      <c r="AR58" s="57">
        <v>20</v>
      </c>
      <c r="AS58" s="57"/>
      <c r="AT58" s="57"/>
      <c r="AU58" s="57"/>
      <c r="AV58" s="57"/>
      <c r="AW58" s="13"/>
      <c r="AX58" s="13"/>
      <c r="AY58" s="13"/>
      <c r="AZ58" s="13"/>
      <c r="BA58" s="13"/>
      <c r="BB58" s="13"/>
      <c r="BC58" s="13"/>
      <c r="BD58" s="13"/>
      <c r="BE58" s="13"/>
      <c r="BF58" s="13"/>
      <c r="BG58" s="39"/>
      <c r="BH58" s="39"/>
      <c r="BI58" s="39"/>
      <c r="BJ58" s="281"/>
      <c r="BK58" s="57"/>
    </row>
    <row r="59" spans="1:63" x14ac:dyDescent="0.25">
      <c r="A59" s="35" t="s">
        <v>439</v>
      </c>
      <c r="B59" s="55" t="s">
        <v>501</v>
      </c>
      <c r="C59" s="285">
        <f>SUM(AllMix[[#This Row],[Black Sunflowers]:[Canary Mix]])</f>
        <v>99.5</v>
      </c>
      <c r="D59" s="45"/>
      <c r="E59" s="45">
        <v>1</v>
      </c>
      <c r="F59" s="45"/>
      <c r="G59" s="45"/>
      <c r="H59" s="45"/>
      <c r="I59" s="45"/>
      <c r="J59" s="45"/>
      <c r="K59" s="45"/>
      <c r="L59" s="45">
        <v>13</v>
      </c>
      <c r="M59" s="45"/>
      <c r="N59" s="45"/>
      <c r="O59" s="45"/>
      <c r="P59" s="45"/>
      <c r="Q59" s="45"/>
      <c r="R59" s="45"/>
      <c r="S59" s="45"/>
      <c r="T59" s="45"/>
      <c r="U59" s="45"/>
      <c r="V59" s="45"/>
      <c r="W59" s="45"/>
      <c r="X59" s="45"/>
      <c r="Y59" s="45"/>
      <c r="Z59" s="45"/>
      <c r="AA59" s="45"/>
      <c r="AB59" s="45">
        <v>14</v>
      </c>
      <c r="AC59" s="45"/>
      <c r="AD59" s="45"/>
      <c r="AE59" s="45">
        <v>5</v>
      </c>
      <c r="AF59" s="45"/>
      <c r="AG59" s="45"/>
      <c r="AH59" s="45">
        <v>0.75</v>
      </c>
      <c r="AI59" s="45">
        <v>0.75</v>
      </c>
      <c r="AJ59" s="45"/>
      <c r="AK59" s="45"/>
      <c r="AL59" s="45"/>
      <c r="AM59" s="57">
        <v>34</v>
      </c>
      <c r="AN59" s="57">
        <v>3</v>
      </c>
      <c r="AO59" s="57"/>
      <c r="AP59" s="57">
        <v>8</v>
      </c>
      <c r="AQ59" s="57"/>
      <c r="AR59" s="57">
        <v>20</v>
      </c>
      <c r="AS59" s="57"/>
      <c r="AT59" s="57"/>
      <c r="AU59" s="57"/>
      <c r="AV59" s="57"/>
      <c r="AW59" s="13"/>
      <c r="AX59" s="13"/>
      <c r="AY59" s="13"/>
      <c r="AZ59" s="13"/>
      <c r="BA59" s="13"/>
      <c r="BB59" s="13"/>
      <c r="BC59" s="13"/>
      <c r="BD59" s="13"/>
      <c r="BE59" s="13"/>
      <c r="BF59" s="13"/>
      <c r="BG59" s="39"/>
      <c r="BH59" s="39"/>
      <c r="BI59" s="39"/>
      <c r="BJ59" s="281"/>
      <c r="BK59" s="57"/>
    </row>
    <row r="60" spans="1:63" x14ac:dyDescent="0.25">
      <c r="A60" s="35" t="s">
        <v>439</v>
      </c>
      <c r="B60" s="55" t="s">
        <v>502</v>
      </c>
      <c r="C60" s="285">
        <f>SUM(AllMix[[#This Row],[Black Sunflowers]:[Canary Mix]])</f>
        <v>100</v>
      </c>
      <c r="D60" s="45">
        <v>6</v>
      </c>
      <c r="E60" s="45">
        <v>2</v>
      </c>
      <c r="F60" s="45"/>
      <c r="G60" s="45"/>
      <c r="H60" s="45"/>
      <c r="I60" s="45"/>
      <c r="J60" s="45"/>
      <c r="K60" s="45"/>
      <c r="L60" s="45"/>
      <c r="M60" s="45"/>
      <c r="N60" s="45"/>
      <c r="O60" s="45"/>
      <c r="P60" s="45"/>
      <c r="Q60" s="45"/>
      <c r="R60" s="45"/>
      <c r="S60" s="45"/>
      <c r="T60" s="45"/>
      <c r="U60" s="45"/>
      <c r="V60" s="45"/>
      <c r="W60" s="45"/>
      <c r="X60" s="45"/>
      <c r="Y60" s="45"/>
      <c r="Z60" s="45"/>
      <c r="AA60" s="45"/>
      <c r="AB60" s="45">
        <v>10</v>
      </c>
      <c r="AC60" s="45"/>
      <c r="AD60" s="45"/>
      <c r="AE60" s="45">
        <v>4</v>
      </c>
      <c r="AF60" s="45"/>
      <c r="AG60" s="45"/>
      <c r="AH60" s="45">
        <v>0.5</v>
      </c>
      <c r="AI60" s="45"/>
      <c r="AJ60" s="45"/>
      <c r="AK60" s="45"/>
      <c r="AL60" s="45"/>
      <c r="AM60" s="57"/>
      <c r="AN60" s="57"/>
      <c r="AO60" s="57">
        <v>10</v>
      </c>
      <c r="AP60" s="57"/>
      <c r="AQ60" s="57"/>
      <c r="AR60" s="57"/>
      <c r="AS60" s="57"/>
      <c r="AT60" s="57">
        <v>35.5</v>
      </c>
      <c r="AU60" s="57"/>
      <c r="AV60" s="57"/>
      <c r="AW60" s="13">
        <v>15</v>
      </c>
      <c r="AX60" s="13">
        <v>2</v>
      </c>
      <c r="AY60" s="13">
        <v>15</v>
      </c>
      <c r="AZ60" s="13"/>
      <c r="BA60" s="13"/>
      <c r="BB60" s="13"/>
      <c r="BC60" s="13"/>
      <c r="BD60" s="13"/>
      <c r="BE60" s="13"/>
      <c r="BF60" s="13"/>
      <c r="BG60" s="39"/>
      <c r="BH60" s="39"/>
      <c r="BI60" s="39"/>
      <c r="BJ60" s="281"/>
      <c r="BK60" s="57"/>
    </row>
    <row r="61" spans="1:63" x14ac:dyDescent="0.25">
      <c r="A61" s="35" t="s">
        <v>439</v>
      </c>
      <c r="B61" s="55" t="s">
        <v>503</v>
      </c>
      <c r="C61" s="285">
        <f>SUM(AllMix[[#This Row],[Black Sunflowers]:[Canary Mix]])</f>
        <v>105.89999999999999</v>
      </c>
      <c r="D61" s="45"/>
      <c r="E61" s="45">
        <v>1</v>
      </c>
      <c r="F61" s="45"/>
      <c r="G61" s="45"/>
      <c r="H61" s="45"/>
      <c r="I61" s="45"/>
      <c r="J61" s="45"/>
      <c r="K61" s="45"/>
      <c r="L61" s="45">
        <v>45</v>
      </c>
      <c r="M61" s="45"/>
      <c r="N61" s="45"/>
      <c r="O61" s="45"/>
      <c r="P61" s="45"/>
      <c r="Q61" s="45"/>
      <c r="R61" s="45"/>
      <c r="S61" s="45"/>
      <c r="T61" s="45"/>
      <c r="U61" s="45"/>
      <c r="V61" s="45"/>
      <c r="W61" s="45"/>
      <c r="X61" s="45"/>
      <c r="Y61" s="45"/>
      <c r="Z61" s="45"/>
      <c r="AA61" s="45"/>
      <c r="AB61" s="45">
        <v>8</v>
      </c>
      <c r="AC61" s="45"/>
      <c r="AD61" s="45"/>
      <c r="AE61" s="45">
        <v>5</v>
      </c>
      <c r="AF61" s="45"/>
      <c r="AG61" s="45"/>
      <c r="AH61" s="45">
        <v>0.75</v>
      </c>
      <c r="AI61" s="45">
        <v>0.75</v>
      </c>
      <c r="AJ61" s="45"/>
      <c r="AK61" s="45"/>
      <c r="AL61" s="45"/>
      <c r="AM61" s="57">
        <v>5</v>
      </c>
      <c r="AN61" s="57">
        <v>15</v>
      </c>
      <c r="AO61" s="57"/>
      <c r="AP61" s="57">
        <v>8</v>
      </c>
      <c r="AQ61" s="57"/>
      <c r="AR61" s="57">
        <v>16</v>
      </c>
      <c r="AS61" s="57"/>
      <c r="AT61" s="57"/>
      <c r="AU61" s="57"/>
      <c r="AV61" s="57"/>
      <c r="AW61" s="13"/>
      <c r="AX61" s="13"/>
      <c r="AY61" s="13"/>
      <c r="AZ61" s="13"/>
      <c r="BA61" s="13"/>
      <c r="BB61" s="13"/>
      <c r="BC61" s="13">
        <v>0.25</v>
      </c>
      <c r="BD61" s="13">
        <v>0.6</v>
      </c>
      <c r="BE61" s="13">
        <v>0.55000000000000004</v>
      </c>
      <c r="BF61" s="13"/>
      <c r="BG61" s="39"/>
      <c r="BH61" s="39"/>
      <c r="BI61" s="39"/>
      <c r="BJ61" s="281"/>
      <c r="BK61" s="57"/>
    </row>
    <row r="62" spans="1:63" x14ac:dyDescent="0.25">
      <c r="A62" s="35" t="s">
        <v>439</v>
      </c>
      <c r="B62" s="55" t="s">
        <v>504</v>
      </c>
      <c r="C62" s="285">
        <f>SUM(AllMix[[#This Row],[Black Sunflowers]:[Canary Mix]])</f>
        <v>101.1</v>
      </c>
      <c r="D62" s="45"/>
      <c r="E62" s="45">
        <v>1</v>
      </c>
      <c r="F62" s="45"/>
      <c r="G62" s="45"/>
      <c r="H62" s="45"/>
      <c r="I62" s="45"/>
      <c r="J62" s="45"/>
      <c r="K62" s="45"/>
      <c r="L62" s="45">
        <v>31</v>
      </c>
      <c r="M62" s="45"/>
      <c r="N62" s="45"/>
      <c r="O62" s="45"/>
      <c r="P62" s="45"/>
      <c r="Q62" s="45"/>
      <c r="R62" s="45"/>
      <c r="S62" s="45"/>
      <c r="T62" s="45"/>
      <c r="U62" s="45"/>
      <c r="V62" s="45"/>
      <c r="W62" s="45"/>
      <c r="X62" s="45"/>
      <c r="Y62" s="45"/>
      <c r="Z62" s="45"/>
      <c r="AA62" s="45"/>
      <c r="AB62" s="45">
        <v>14</v>
      </c>
      <c r="AC62" s="45"/>
      <c r="AD62" s="45"/>
      <c r="AE62" s="45">
        <v>5</v>
      </c>
      <c r="AF62" s="45"/>
      <c r="AG62" s="45"/>
      <c r="AH62" s="45">
        <v>0.75</v>
      </c>
      <c r="AI62" s="45">
        <v>0.75</v>
      </c>
      <c r="AJ62" s="45"/>
      <c r="AK62" s="45"/>
      <c r="AL62" s="45"/>
      <c r="AM62" s="57">
        <v>10</v>
      </c>
      <c r="AN62" s="57">
        <v>10</v>
      </c>
      <c r="AO62" s="57"/>
      <c r="AP62" s="57">
        <v>8</v>
      </c>
      <c r="AQ62" s="57"/>
      <c r="AR62" s="57">
        <v>20</v>
      </c>
      <c r="AS62" s="57"/>
      <c r="AT62" s="57"/>
      <c r="AU62" s="57"/>
      <c r="AV62" s="57"/>
      <c r="AW62" s="13"/>
      <c r="AX62" s="13"/>
      <c r="AY62" s="13"/>
      <c r="AZ62" s="13"/>
      <c r="BA62" s="13"/>
      <c r="BB62" s="13"/>
      <c r="BC62" s="13"/>
      <c r="BD62" s="13"/>
      <c r="BE62" s="13">
        <v>0.6</v>
      </c>
      <c r="BF62" s="13"/>
      <c r="BG62" s="39"/>
      <c r="BH62" s="39"/>
      <c r="BI62" s="39"/>
      <c r="BJ62" s="281"/>
      <c r="BK62" s="57"/>
    </row>
    <row r="63" spans="1:63" x14ac:dyDescent="0.25">
      <c r="A63" s="35" t="s">
        <v>439</v>
      </c>
      <c r="B63" s="55" t="s">
        <v>505</v>
      </c>
      <c r="C63" s="285">
        <f>SUM(AllMix[[#This Row],[Black Sunflowers]:[Canary Mix]])</f>
        <v>100.1</v>
      </c>
      <c r="D63" s="45"/>
      <c r="E63" s="45">
        <v>1</v>
      </c>
      <c r="F63" s="45"/>
      <c r="G63" s="45"/>
      <c r="H63" s="45"/>
      <c r="I63" s="45"/>
      <c r="J63" s="45"/>
      <c r="K63" s="45"/>
      <c r="L63" s="45">
        <v>13</v>
      </c>
      <c r="M63" s="45"/>
      <c r="N63" s="45"/>
      <c r="O63" s="45"/>
      <c r="P63" s="45"/>
      <c r="Q63" s="45"/>
      <c r="R63" s="45"/>
      <c r="S63" s="45"/>
      <c r="T63" s="45"/>
      <c r="U63" s="45"/>
      <c r="V63" s="45"/>
      <c r="W63" s="45"/>
      <c r="X63" s="45"/>
      <c r="Y63" s="45"/>
      <c r="Z63" s="45"/>
      <c r="AA63" s="45"/>
      <c r="AB63" s="45">
        <v>14</v>
      </c>
      <c r="AC63" s="45"/>
      <c r="AD63" s="45"/>
      <c r="AE63" s="45">
        <v>5</v>
      </c>
      <c r="AF63" s="45"/>
      <c r="AG63" s="45"/>
      <c r="AH63" s="45">
        <v>0.75</v>
      </c>
      <c r="AI63" s="45">
        <v>0.75</v>
      </c>
      <c r="AJ63" s="45"/>
      <c r="AK63" s="45"/>
      <c r="AL63" s="45"/>
      <c r="AM63" s="57">
        <v>34</v>
      </c>
      <c r="AN63" s="57">
        <v>3</v>
      </c>
      <c r="AO63" s="57"/>
      <c r="AP63" s="57">
        <v>8</v>
      </c>
      <c r="AQ63" s="57"/>
      <c r="AR63" s="57">
        <v>20</v>
      </c>
      <c r="AS63" s="57"/>
      <c r="AT63" s="57"/>
      <c r="AU63" s="57"/>
      <c r="AV63" s="57"/>
      <c r="AW63" s="13"/>
      <c r="AX63" s="13"/>
      <c r="AY63" s="13"/>
      <c r="AZ63" s="13"/>
      <c r="BA63" s="13"/>
      <c r="BB63" s="13"/>
      <c r="BC63" s="13"/>
      <c r="BD63" s="13"/>
      <c r="BE63" s="13">
        <v>0.6</v>
      </c>
      <c r="BF63" s="13"/>
      <c r="BG63" s="39"/>
      <c r="BH63" s="39"/>
      <c r="BI63" s="39"/>
      <c r="BJ63" s="281"/>
      <c r="BK63" s="57"/>
    </row>
    <row r="64" spans="1:63" x14ac:dyDescent="0.25">
      <c r="A64" s="35" t="s">
        <v>439</v>
      </c>
      <c r="B64" s="55" t="s">
        <v>506</v>
      </c>
      <c r="C64" s="285">
        <f>SUM(AllMix[[#This Row],[Black Sunflowers]:[Canary Mix]])</f>
        <v>100.02</v>
      </c>
      <c r="D64" s="45"/>
      <c r="E64" s="45">
        <v>2.5</v>
      </c>
      <c r="F64" s="45"/>
      <c r="G64" s="45"/>
      <c r="H64" s="45"/>
      <c r="I64" s="45"/>
      <c r="J64" s="45"/>
      <c r="K64" s="45"/>
      <c r="L64" s="45">
        <v>40</v>
      </c>
      <c r="M64" s="45"/>
      <c r="N64" s="45"/>
      <c r="O64" s="45"/>
      <c r="P64" s="45"/>
      <c r="Q64" s="45"/>
      <c r="R64" s="45"/>
      <c r="S64" s="45"/>
      <c r="T64" s="45"/>
      <c r="U64" s="45"/>
      <c r="V64" s="45"/>
      <c r="W64" s="45"/>
      <c r="X64" s="45"/>
      <c r="Y64" s="45"/>
      <c r="Z64" s="45">
        <v>8.75</v>
      </c>
      <c r="AA64" s="45"/>
      <c r="AB64" s="257">
        <v>6.88</v>
      </c>
      <c r="AC64" s="45"/>
      <c r="AD64" s="45"/>
      <c r="AE64" s="257">
        <v>4.38</v>
      </c>
      <c r="AF64" s="45"/>
      <c r="AG64" s="45"/>
      <c r="AH64" s="257">
        <v>0.94</v>
      </c>
      <c r="AI64" s="45"/>
      <c r="AJ64" s="45"/>
      <c r="AK64" s="45"/>
      <c r="AL64" s="45"/>
      <c r="AM64" s="57"/>
      <c r="AN64" s="57"/>
      <c r="AO64" s="57"/>
      <c r="AP64" s="13">
        <v>10.94</v>
      </c>
      <c r="AQ64" s="57"/>
      <c r="AR64" s="57"/>
      <c r="AS64" s="57">
        <v>9.3800000000000008</v>
      </c>
      <c r="AT64" s="57"/>
      <c r="AU64" s="57"/>
      <c r="AV64" s="57">
        <v>16.25</v>
      </c>
      <c r="AW64" s="13"/>
      <c r="AX64" s="13"/>
      <c r="AY64" s="13"/>
      <c r="AZ64" s="13"/>
      <c r="BA64" s="13"/>
      <c r="BB64" s="13"/>
      <c r="BC64" s="13"/>
      <c r="BD64" s="13"/>
      <c r="BE64" s="13"/>
      <c r="BF64" s="13"/>
      <c r="BG64" s="39"/>
      <c r="BH64" s="39"/>
      <c r="BI64" s="39"/>
      <c r="BJ64" s="281"/>
      <c r="BK64" s="57"/>
    </row>
    <row r="65" spans="1:63" x14ac:dyDescent="0.25">
      <c r="A65" s="35" t="s">
        <v>439</v>
      </c>
      <c r="B65" s="55" t="s">
        <v>507</v>
      </c>
      <c r="C65" s="285">
        <f>SUM(AllMix[[#This Row],[Black Sunflowers]:[Canary Mix]])</f>
        <v>100</v>
      </c>
      <c r="D65" s="45">
        <v>3.85</v>
      </c>
      <c r="E65" s="45">
        <v>0.46</v>
      </c>
      <c r="F65" s="45"/>
      <c r="G65" s="45"/>
      <c r="H65" s="45"/>
      <c r="I65" s="45"/>
      <c r="J65" s="45"/>
      <c r="K65" s="45"/>
      <c r="L65" s="45">
        <v>3.38</v>
      </c>
      <c r="M65" s="45"/>
      <c r="N65" s="45"/>
      <c r="O65" s="45"/>
      <c r="P65" s="45"/>
      <c r="Q65" s="45"/>
      <c r="R65" s="45"/>
      <c r="S65" s="45"/>
      <c r="T65" s="45"/>
      <c r="U65" s="45"/>
      <c r="V65" s="45"/>
      <c r="W65" s="45"/>
      <c r="X65" s="45"/>
      <c r="Y65" s="45"/>
      <c r="Z65" s="45"/>
      <c r="AA65" s="45"/>
      <c r="AB65" s="257">
        <v>13.85</v>
      </c>
      <c r="AC65" s="45"/>
      <c r="AD65" s="45"/>
      <c r="AE65" s="257">
        <v>6.92</v>
      </c>
      <c r="AF65" s="45"/>
      <c r="AG65" s="45"/>
      <c r="AH65" s="257"/>
      <c r="AI65" s="45"/>
      <c r="AJ65" s="45"/>
      <c r="AK65" s="45"/>
      <c r="AL65" s="45"/>
      <c r="AM65" s="57"/>
      <c r="AN65" s="57">
        <v>3.08</v>
      </c>
      <c r="AO65" s="57"/>
      <c r="AP65" s="13">
        <v>19.23</v>
      </c>
      <c r="AQ65" s="57"/>
      <c r="AR65" s="57">
        <v>11.54</v>
      </c>
      <c r="AS65" s="57">
        <v>36.15</v>
      </c>
      <c r="AT65" s="57"/>
      <c r="AU65" s="57"/>
      <c r="AV65" s="57"/>
      <c r="AW65" s="13"/>
      <c r="AX65" s="13"/>
      <c r="AY65" s="13"/>
      <c r="AZ65" s="13"/>
      <c r="BA65" s="13"/>
      <c r="BB65" s="13"/>
      <c r="BC65" s="13"/>
      <c r="BD65" s="13"/>
      <c r="BE65" s="13"/>
      <c r="BF65" s="13">
        <v>1.54</v>
      </c>
      <c r="BG65" s="39"/>
      <c r="BH65" s="39"/>
      <c r="BI65" s="39"/>
      <c r="BJ65" s="281"/>
      <c r="BK65" s="57"/>
    </row>
    <row r="66" spans="1:63" x14ac:dyDescent="0.25">
      <c r="A66" s="35" t="s">
        <v>439</v>
      </c>
      <c r="B66" s="55" t="s">
        <v>498</v>
      </c>
      <c r="C66" s="285">
        <f>SUM(AllMix[[#This Row],[Black Sunflowers]:[Canary Mix]])</f>
        <v>100</v>
      </c>
      <c r="D66" s="45">
        <v>2.5</v>
      </c>
      <c r="E66" s="45">
        <v>1.5</v>
      </c>
      <c r="F66" s="45"/>
      <c r="G66" s="45"/>
      <c r="H66" s="45"/>
      <c r="I66" s="45"/>
      <c r="J66" s="45"/>
      <c r="K66" s="45"/>
      <c r="L66" s="45">
        <v>40</v>
      </c>
      <c r="M66" s="45"/>
      <c r="N66" s="45"/>
      <c r="O66" s="45"/>
      <c r="P66" s="45"/>
      <c r="Q66" s="45"/>
      <c r="R66" s="45"/>
      <c r="S66" s="45"/>
      <c r="T66" s="45"/>
      <c r="U66" s="45"/>
      <c r="V66" s="45"/>
      <c r="W66" s="45"/>
      <c r="X66" s="45"/>
      <c r="Y66" s="45"/>
      <c r="Z66" s="45">
        <v>8</v>
      </c>
      <c r="AA66" s="45"/>
      <c r="AB66" s="45">
        <v>8</v>
      </c>
      <c r="AC66" s="45"/>
      <c r="AD66" s="45"/>
      <c r="AE66" s="45">
        <v>5</v>
      </c>
      <c r="AF66" s="45"/>
      <c r="AG66" s="45"/>
      <c r="AH66" s="45">
        <v>0.5</v>
      </c>
      <c r="AI66" s="45"/>
      <c r="AJ66" s="45"/>
      <c r="AK66" s="45"/>
      <c r="AL66" s="45"/>
      <c r="AM66" s="57">
        <v>14.5</v>
      </c>
      <c r="AN66" s="57"/>
      <c r="AO66" s="57"/>
      <c r="AP66" s="57"/>
      <c r="AQ66" s="57"/>
      <c r="AR66" s="57"/>
      <c r="AS66" s="57"/>
      <c r="AT66" s="57"/>
      <c r="AU66" s="57">
        <v>20</v>
      </c>
      <c r="AV66" s="57"/>
      <c r="AW66" s="13"/>
      <c r="AX66" s="13"/>
      <c r="AY66" s="13"/>
      <c r="AZ66" s="13"/>
      <c r="BA66" s="13"/>
      <c r="BB66" s="13"/>
      <c r="BC66" s="13"/>
      <c r="BD66" s="13"/>
      <c r="BE66" s="13"/>
      <c r="BF66" s="13"/>
      <c r="BG66" s="39"/>
      <c r="BH66" s="39"/>
      <c r="BI66" s="39"/>
      <c r="BJ66" s="281"/>
      <c r="BK66" s="57"/>
    </row>
    <row r="67" spans="1:63" x14ac:dyDescent="0.25">
      <c r="A67" s="35" t="s">
        <v>439</v>
      </c>
      <c r="B67" s="55" t="s">
        <v>497</v>
      </c>
      <c r="C67" s="285">
        <f>SUM(AllMix[[#This Row],[Black Sunflowers]:[Canary Mix]])</f>
        <v>100.01</v>
      </c>
      <c r="D67" s="45">
        <v>2.5</v>
      </c>
      <c r="E67" s="45">
        <v>1.17</v>
      </c>
      <c r="F67" s="45"/>
      <c r="G67" s="45"/>
      <c r="H67" s="45"/>
      <c r="I67" s="45"/>
      <c r="J67" s="45"/>
      <c r="K67" s="45"/>
      <c r="L67" s="45"/>
      <c r="M67" s="45"/>
      <c r="N67" s="45"/>
      <c r="O67" s="45"/>
      <c r="P67" s="45"/>
      <c r="Q67" s="45"/>
      <c r="R67" s="45"/>
      <c r="S67" s="45"/>
      <c r="T67" s="45"/>
      <c r="U67" s="45"/>
      <c r="V67" s="45"/>
      <c r="W67" s="45"/>
      <c r="X67" s="45"/>
      <c r="Y67" s="45"/>
      <c r="Z67" s="45"/>
      <c r="AA67" s="45"/>
      <c r="AB67" s="45">
        <v>6.67</v>
      </c>
      <c r="AC67" s="45"/>
      <c r="AD67" s="45"/>
      <c r="AE67" s="45">
        <v>5</v>
      </c>
      <c r="AF67" s="45"/>
      <c r="AG67" s="45"/>
      <c r="AH67" s="45">
        <v>0.5</v>
      </c>
      <c r="AI67" s="45"/>
      <c r="AJ67" s="45"/>
      <c r="AK67" s="45"/>
      <c r="AL67" s="45"/>
      <c r="AM67" s="57">
        <v>41.67</v>
      </c>
      <c r="AN67" s="57"/>
      <c r="AO67" s="57"/>
      <c r="AP67" s="57"/>
      <c r="AQ67" s="57">
        <v>4.17</v>
      </c>
      <c r="AR67" s="57"/>
      <c r="AS67" s="57"/>
      <c r="AT67" s="57">
        <v>14</v>
      </c>
      <c r="AU67" s="57">
        <v>16</v>
      </c>
      <c r="AV67" s="57"/>
      <c r="AW67" s="13"/>
      <c r="AX67" s="13"/>
      <c r="AY67" s="13"/>
      <c r="AZ67" s="13">
        <v>8.33</v>
      </c>
      <c r="BA67" s="13"/>
      <c r="BB67" s="13"/>
      <c r="BC67" s="13"/>
      <c r="BD67" s="13"/>
      <c r="BE67" s="13"/>
      <c r="BF67" s="13"/>
      <c r="BG67" s="39"/>
      <c r="BH67" s="39"/>
      <c r="BI67" s="39"/>
      <c r="BJ67" s="281"/>
      <c r="BK67" s="57"/>
    </row>
    <row r="68" spans="1:63" x14ac:dyDescent="0.25">
      <c r="A68" s="35" t="s">
        <v>439</v>
      </c>
      <c r="B68" s="55" t="s">
        <v>496</v>
      </c>
      <c r="C68" s="285">
        <f>SUM(AllMix[[#This Row],[Black Sunflowers]:[Canary Mix]])</f>
        <v>100</v>
      </c>
      <c r="D68" s="45">
        <v>2</v>
      </c>
      <c r="E68" s="45">
        <v>1</v>
      </c>
      <c r="F68" s="45"/>
      <c r="G68" s="45"/>
      <c r="H68" s="45"/>
      <c r="I68" s="45"/>
      <c r="J68" s="45"/>
      <c r="K68" s="45"/>
      <c r="L68" s="45"/>
      <c r="M68" s="45"/>
      <c r="N68" s="45"/>
      <c r="O68" s="45"/>
      <c r="P68" s="45"/>
      <c r="Q68" s="45"/>
      <c r="R68" s="45"/>
      <c r="S68" s="45"/>
      <c r="T68" s="45"/>
      <c r="U68" s="45"/>
      <c r="V68" s="45"/>
      <c r="W68" s="45"/>
      <c r="X68" s="45"/>
      <c r="Y68" s="45"/>
      <c r="Z68" s="45">
        <v>15</v>
      </c>
      <c r="AA68" s="45"/>
      <c r="AB68" s="45">
        <v>12</v>
      </c>
      <c r="AC68" s="45"/>
      <c r="AD68" s="45"/>
      <c r="AE68" s="45">
        <v>6</v>
      </c>
      <c r="AF68" s="45"/>
      <c r="AG68" s="45"/>
      <c r="AH68" s="45">
        <v>0.5</v>
      </c>
      <c r="AI68" s="45"/>
      <c r="AJ68" s="45"/>
      <c r="AK68" s="45"/>
      <c r="AL68" s="45"/>
      <c r="AM68" s="57">
        <v>43.5</v>
      </c>
      <c r="AN68" s="57"/>
      <c r="AO68" s="57"/>
      <c r="AP68" s="57"/>
      <c r="AQ68" s="57"/>
      <c r="AR68" s="57"/>
      <c r="AS68" s="57"/>
      <c r="AT68" s="57"/>
      <c r="AU68" s="57">
        <v>20</v>
      </c>
      <c r="AV68" s="57"/>
      <c r="AW68" s="13"/>
      <c r="AX68" s="13"/>
      <c r="AY68" s="13"/>
      <c r="AZ68" s="13"/>
      <c r="BA68" s="13"/>
      <c r="BB68" s="13"/>
      <c r="BC68" s="13"/>
      <c r="BD68" s="13"/>
      <c r="BE68" s="13"/>
      <c r="BF68" s="13"/>
      <c r="BG68" s="39"/>
      <c r="BH68" s="39"/>
      <c r="BI68" s="39"/>
      <c r="BJ68" s="281"/>
      <c r="BK68" s="57"/>
    </row>
    <row r="69" spans="1:63" x14ac:dyDescent="0.25">
      <c r="A69" s="35" t="s">
        <v>439</v>
      </c>
      <c r="B69" s="55" t="s">
        <v>508</v>
      </c>
      <c r="C69" s="285">
        <f>SUM(AllMix[[#This Row],[Black Sunflowers]:[Canary Mix]])</f>
        <v>98.5</v>
      </c>
      <c r="D69" s="45">
        <v>3</v>
      </c>
      <c r="E69" s="45">
        <v>1</v>
      </c>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v>4</v>
      </c>
      <c r="AF69" s="45"/>
      <c r="AG69" s="45"/>
      <c r="AH69" s="45">
        <v>0.5</v>
      </c>
      <c r="AI69" s="45"/>
      <c r="AJ69" s="45"/>
      <c r="AK69" s="45"/>
      <c r="AL69" s="45"/>
      <c r="AM69" s="57">
        <v>40</v>
      </c>
      <c r="AN69" s="57">
        <v>15</v>
      </c>
      <c r="AO69" s="57">
        <v>15</v>
      </c>
      <c r="AP69" s="57"/>
      <c r="AQ69" s="57"/>
      <c r="AR69" s="57"/>
      <c r="AS69" s="57"/>
      <c r="AT69" s="57"/>
      <c r="AU69" s="57">
        <v>20</v>
      </c>
      <c r="AV69" s="57"/>
      <c r="AW69" s="13"/>
      <c r="AX69" s="13"/>
      <c r="AY69" s="13"/>
      <c r="AZ69" s="13"/>
      <c r="BA69" s="13"/>
      <c r="BB69" s="13"/>
      <c r="BC69" s="13"/>
      <c r="BD69" s="13"/>
      <c r="BE69" s="13"/>
      <c r="BF69" s="13"/>
      <c r="BG69" s="39"/>
      <c r="BH69" s="39"/>
      <c r="BI69" s="39"/>
      <c r="BJ69" s="281"/>
      <c r="BK69" s="57"/>
    </row>
    <row r="70" spans="1:63" x14ac:dyDescent="0.25">
      <c r="A70" s="35" t="s">
        <v>439</v>
      </c>
      <c r="B70" s="55" t="s">
        <v>509</v>
      </c>
      <c r="C70" s="285">
        <f>SUM(AllMix[[#This Row],[Black Sunflowers]:[Canary Mix]])</f>
        <v>100</v>
      </c>
      <c r="D70" s="45">
        <v>3</v>
      </c>
      <c r="E70" s="45">
        <v>1</v>
      </c>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v>4.5</v>
      </c>
      <c r="AF70" s="45"/>
      <c r="AG70" s="45"/>
      <c r="AH70" s="45"/>
      <c r="AI70" s="45"/>
      <c r="AJ70" s="45"/>
      <c r="AK70" s="45"/>
      <c r="AL70" s="45"/>
      <c r="AM70" s="57">
        <v>16</v>
      </c>
      <c r="AN70" s="57"/>
      <c r="AO70" s="57">
        <v>8</v>
      </c>
      <c r="AP70" s="57">
        <v>3.75</v>
      </c>
      <c r="AQ70" s="57">
        <v>3.75</v>
      </c>
      <c r="AR70" s="57">
        <v>12</v>
      </c>
      <c r="AS70" s="57">
        <v>48</v>
      </c>
      <c r="AT70" s="57"/>
      <c r="AU70" s="57"/>
      <c r="AV70" s="57"/>
      <c r="AW70" s="13"/>
      <c r="AX70" s="13"/>
      <c r="AY70" s="13"/>
      <c r="AZ70" s="13"/>
      <c r="BA70" s="13"/>
      <c r="BB70" s="13"/>
      <c r="BC70" s="13"/>
      <c r="BD70" s="13"/>
      <c r="BE70" s="13"/>
      <c r="BF70" s="13"/>
      <c r="BG70" s="39"/>
      <c r="BH70" s="39"/>
      <c r="BI70" s="39"/>
      <c r="BJ70" s="281"/>
      <c r="BK70" s="57"/>
    </row>
    <row r="71" spans="1:63" x14ac:dyDescent="0.25">
      <c r="A71" s="35" t="s">
        <v>439</v>
      </c>
      <c r="B71" s="55" t="s">
        <v>510</v>
      </c>
      <c r="C71" s="285">
        <f>SUM(AllMix[[#This Row],[Black Sunflowers]:[Canary Mix]])</f>
        <v>100</v>
      </c>
      <c r="D71" s="45">
        <v>4</v>
      </c>
      <c r="E71" s="45">
        <v>2.25</v>
      </c>
      <c r="F71" s="45"/>
      <c r="G71" s="45"/>
      <c r="H71" s="45"/>
      <c r="I71" s="45"/>
      <c r="J71" s="45"/>
      <c r="K71" s="45"/>
      <c r="L71" s="45">
        <v>41</v>
      </c>
      <c r="M71" s="45"/>
      <c r="N71" s="45"/>
      <c r="O71" s="45"/>
      <c r="P71" s="45"/>
      <c r="Q71" s="45"/>
      <c r="R71" s="45"/>
      <c r="S71" s="45"/>
      <c r="T71" s="45"/>
      <c r="U71" s="45"/>
      <c r="V71" s="45"/>
      <c r="W71" s="45"/>
      <c r="X71" s="45"/>
      <c r="Y71" s="45"/>
      <c r="Z71" s="45"/>
      <c r="AA71" s="45"/>
      <c r="AB71" s="45"/>
      <c r="AC71" s="45"/>
      <c r="AD71" s="45"/>
      <c r="AE71" s="45">
        <v>5</v>
      </c>
      <c r="AF71" s="45"/>
      <c r="AG71" s="45"/>
      <c r="AH71" s="45">
        <v>0.75</v>
      </c>
      <c r="AI71" s="45">
        <v>0.75</v>
      </c>
      <c r="AJ71" s="45"/>
      <c r="AK71" s="45"/>
      <c r="AL71" s="45"/>
      <c r="AM71" s="57">
        <v>2</v>
      </c>
      <c r="AN71" s="57">
        <v>16</v>
      </c>
      <c r="AO71" s="57">
        <v>12</v>
      </c>
      <c r="AP71" s="57"/>
      <c r="AQ71" s="57"/>
      <c r="AR71" s="57">
        <v>16</v>
      </c>
      <c r="AS71" s="57"/>
      <c r="AT71" s="57"/>
      <c r="AU71" s="57"/>
      <c r="AV71" s="57"/>
      <c r="AW71" s="13"/>
      <c r="AX71" s="13"/>
      <c r="AY71" s="13"/>
      <c r="AZ71" s="13"/>
      <c r="BA71" s="13"/>
      <c r="BB71" s="13"/>
      <c r="BC71" s="13">
        <v>0.25</v>
      </c>
      <c r="BD71" s="13"/>
      <c r="BE71" s="13"/>
      <c r="BF71" s="13"/>
      <c r="BG71" s="39"/>
      <c r="BH71" s="39"/>
      <c r="BI71" s="39"/>
      <c r="BJ71" s="281"/>
      <c r="BK71" s="57"/>
    </row>
    <row r="72" spans="1:63" x14ac:dyDescent="0.25">
      <c r="A72" s="35" t="s">
        <v>439</v>
      </c>
      <c r="B72" s="55" t="s">
        <v>511</v>
      </c>
      <c r="C72" s="285">
        <f>SUM(AllMix[[#This Row],[Black Sunflowers]:[Canary Mix]])</f>
        <v>94</v>
      </c>
      <c r="D72" s="45">
        <v>2</v>
      </c>
      <c r="E72" s="45">
        <v>2</v>
      </c>
      <c r="F72" s="45"/>
      <c r="G72" s="45"/>
      <c r="H72" s="45"/>
      <c r="I72" s="45"/>
      <c r="J72" s="45"/>
      <c r="K72" s="45"/>
      <c r="L72" s="45">
        <v>10</v>
      </c>
      <c r="M72" s="45"/>
      <c r="N72" s="45"/>
      <c r="O72" s="45"/>
      <c r="P72" s="45"/>
      <c r="Q72" s="45"/>
      <c r="R72" s="45"/>
      <c r="S72" s="45"/>
      <c r="T72" s="45"/>
      <c r="U72" s="45"/>
      <c r="V72" s="45"/>
      <c r="W72" s="45"/>
      <c r="X72" s="45"/>
      <c r="Y72" s="45"/>
      <c r="Z72" s="45"/>
      <c r="AA72" s="45"/>
      <c r="AB72" s="45"/>
      <c r="AC72" s="45"/>
      <c r="AD72" s="45"/>
      <c r="AE72" s="45">
        <v>5</v>
      </c>
      <c r="AF72" s="45"/>
      <c r="AG72" s="45"/>
      <c r="AH72" s="45">
        <v>0.5</v>
      </c>
      <c r="AI72" s="45">
        <v>0.5</v>
      </c>
      <c r="AJ72" s="45"/>
      <c r="AK72" s="45"/>
      <c r="AL72" s="45"/>
      <c r="AM72" s="57">
        <v>10</v>
      </c>
      <c r="AN72" s="57">
        <v>8</v>
      </c>
      <c r="AO72" s="57">
        <v>6</v>
      </c>
      <c r="AP72" s="57"/>
      <c r="AQ72" s="57"/>
      <c r="AR72" s="57">
        <v>15</v>
      </c>
      <c r="AS72" s="57"/>
      <c r="AT72" s="57">
        <v>15</v>
      </c>
      <c r="AU72" s="57"/>
      <c r="AV72" s="57"/>
      <c r="AW72" s="13">
        <v>10</v>
      </c>
      <c r="AX72" s="13"/>
      <c r="AY72" s="13">
        <v>10</v>
      </c>
      <c r="AZ72" s="13"/>
      <c r="BA72" s="13"/>
      <c r="BB72" s="13"/>
      <c r="BC72" s="13"/>
      <c r="BD72" s="13"/>
      <c r="BE72" s="13"/>
      <c r="BF72" s="13"/>
      <c r="BG72" s="39"/>
      <c r="BH72" s="39"/>
      <c r="BI72" s="39"/>
      <c r="BJ72" s="281"/>
      <c r="BK72" s="57"/>
    </row>
    <row r="73" spans="1:63" x14ac:dyDescent="0.25">
      <c r="A73" s="35" t="s">
        <v>439</v>
      </c>
      <c r="B73" s="55" t="s">
        <v>512</v>
      </c>
      <c r="C73" s="285">
        <f>SUM(AllMix[[#This Row],[Black Sunflowers]:[Canary Mix]])</f>
        <v>91</v>
      </c>
      <c r="D73" s="45"/>
      <c r="E73" s="45"/>
      <c r="F73" s="45"/>
      <c r="G73" s="45"/>
      <c r="H73" s="45"/>
      <c r="I73" s="45"/>
      <c r="J73" s="45"/>
      <c r="K73" s="45"/>
      <c r="L73" s="45"/>
      <c r="M73" s="45"/>
      <c r="N73" s="45"/>
      <c r="O73" s="45"/>
      <c r="P73" s="45"/>
      <c r="Q73" s="45"/>
      <c r="R73" s="45"/>
      <c r="S73" s="45"/>
      <c r="T73" s="45"/>
      <c r="U73" s="45"/>
      <c r="V73" s="45"/>
      <c r="W73" s="45"/>
      <c r="X73" s="45"/>
      <c r="Y73" s="45"/>
      <c r="Z73" s="45"/>
      <c r="AA73" s="45"/>
      <c r="AB73" s="45">
        <v>10</v>
      </c>
      <c r="AC73" s="45"/>
      <c r="AD73" s="45"/>
      <c r="AE73" s="45"/>
      <c r="AF73" s="45"/>
      <c r="AG73" s="45"/>
      <c r="AH73" s="45"/>
      <c r="AI73" s="45">
        <v>1</v>
      </c>
      <c r="AJ73" s="45"/>
      <c r="AK73" s="45"/>
      <c r="AL73" s="45"/>
      <c r="AM73" s="57">
        <v>30</v>
      </c>
      <c r="AN73" s="57"/>
      <c r="AO73" s="57"/>
      <c r="AP73" s="57"/>
      <c r="AQ73" s="57"/>
      <c r="AR73" s="57"/>
      <c r="AS73" s="57"/>
      <c r="AT73" s="57"/>
      <c r="AU73" s="57"/>
      <c r="AV73" s="57"/>
      <c r="AW73" s="13"/>
      <c r="AX73" s="13"/>
      <c r="AY73" s="13"/>
      <c r="AZ73" s="13">
        <v>10</v>
      </c>
      <c r="BA73" s="13">
        <v>20</v>
      </c>
      <c r="BB73" s="13">
        <v>20</v>
      </c>
      <c r="BC73" s="13"/>
      <c r="BD73" s="13"/>
      <c r="BE73" s="13"/>
      <c r="BF73" s="13"/>
      <c r="BG73" s="39"/>
      <c r="BH73" s="39"/>
      <c r="BI73" s="39"/>
      <c r="BJ73" s="281"/>
      <c r="BK73" s="57"/>
    </row>
    <row r="74" spans="1:63" x14ac:dyDescent="0.25">
      <c r="A74" s="35" t="s">
        <v>439</v>
      </c>
      <c r="B74" s="55" t="s">
        <v>513</v>
      </c>
      <c r="C74" s="285">
        <f>SUM(AllMix[[#This Row],[Black Sunflowers]:[Canary Mix]])</f>
        <v>100</v>
      </c>
      <c r="D74" s="45"/>
      <c r="E74" s="45">
        <v>2</v>
      </c>
      <c r="F74" s="45"/>
      <c r="G74" s="45"/>
      <c r="H74" s="45"/>
      <c r="I74" s="45"/>
      <c r="J74" s="45"/>
      <c r="K74" s="45"/>
      <c r="L74" s="45"/>
      <c r="M74" s="45"/>
      <c r="N74" s="45"/>
      <c r="O74" s="45"/>
      <c r="P74" s="45"/>
      <c r="Q74" s="45"/>
      <c r="R74" s="45"/>
      <c r="S74" s="45"/>
      <c r="T74" s="45"/>
      <c r="U74" s="45"/>
      <c r="V74" s="45"/>
      <c r="W74" s="45"/>
      <c r="X74" s="45"/>
      <c r="Y74" s="45"/>
      <c r="Z74" s="45"/>
      <c r="AA74" s="45"/>
      <c r="AB74" s="45">
        <v>10</v>
      </c>
      <c r="AC74" s="45"/>
      <c r="AD74" s="45"/>
      <c r="AE74" s="45">
        <v>5</v>
      </c>
      <c r="AF74" s="45"/>
      <c r="AG74" s="45"/>
      <c r="AH74" s="45"/>
      <c r="AI74" s="45"/>
      <c r="AJ74" s="45"/>
      <c r="AK74" s="45"/>
      <c r="AL74" s="45"/>
      <c r="AM74" s="57">
        <v>23</v>
      </c>
      <c r="AN74" s="57"/>
      <c r="AO74" s="57"/>
      <c r="AP74" s="57">
        <v>5</v>
      </c>
      <c r="AQ74" s="57">
        <v>5</v>
      </c>
      <c r="AR74" s="57"/>
      <c r="AS74" s="57"/>
      <c r="AT74" s="57">
        <v>20</v>
      </c>
      <c r="AU74" s="57">
        <v>20</v>
      </c>
      <c r="AV74" s="57"/>
      <c r="AW74" s="13"/>
      <c r="AX74" s="13"/>
      <c r="AY74" s="13"/>
      <c r="AZ74" s="13">
        <v>10</v>
      </c>
      <c r="BA74" s="13"/>
      <c r="BB74" s="13"/>
      <c r="BC74" s="13"/>
      <c r="BD74" s="13"/>
      <c r="BE74" s="13"/>
      <c r="BF74" s="13"/>
      <c r="BG74" s="39"/>
      <c r="BH74" s="39"/>
      <c r="BI74" s="39"/>
      <c r="BJ74" s="281"/>
      <c r="BK74" s="57"/>
    </row>
    <row r="75" spans="1:63" x14ac:dyDescent="0.25">
      <c r="A75" s="35" t="s">
        <v>439</v>
      </c>
      <c r="B75" s="55" t="s">
        <v>514</v>
      </c>
      <c r="C75" s="285">
        <f>SUM(AllMix[[#This Row],[Black Sunflowers]:[Canary Mix]])</f>
        <v>100.17</v>
      </c>
      <c r="D75" s="45">
        <v>5</v>
      </c>
      <c r="E75" s="45"/>
      <c r="F75" s="45"/>
      <c r="G75" s="45"/>
      <c r="H75" s="45"/>
      <c r="I75" s="45"/>
      <c r="J75" s="45"/>
      <c r="K75" s="45"/>
      <c r="L75" s="45">
        <v>20</v>
      </c>
      <c r="M75" s="45"/>
      <c r="N75" s="45"/>
      <c r="O75" s="45"/>
      <c r="P75" s="45"/>
      <c r="Q75" s="45"/>
      <c r="R75" s="45"/>
      <c r="S75" s="45"/>
      <c r="T75" s="45"/>
      <c r="U75" s="45"/>
      <c r="V75" s="45"/>
      <c r="W75" s="45"/>
      <c r="X75" s="45"/>
      <c r="Y75" s="45"/>
      <c r="Z75" s="45"/>
      <c r="AA75" s="45"/>
      <c r="AB75" s="45"/>
      <c r="AC75" s="45"/>
      <c r="AD75" s="45"/>
      <c r="AE75" s="45">
        <v>10</v>
      </c>
      <c r="AF75" s="45"/>
      <c r="AG75" s="45"/>
      <c r="AH75" s="45">
        <v>18</v>
      </c>
      <c r="AI75" s="45"/>
      <c r="AJ75" s="45"/>
      <c r="AK75" s="45"/>
      <c r="AL75" s="45"/>
      <c r="AM75" s="57">
        <v>30</v>
      </c>
      <c r="AN75" s="57">
        <v>10</v>
      </c>
      <c r="AO75" s="57"/>
      <c r="AP75" s="57"/>
      <c r="AQ75" s="57"/>
      <c r="AR75" s="57"/>
      <c r="AS75" s="57"/>
      <c r="AT75" s="57"/>
      <c r="AU75" s="57"/>
      <c r="AV75" s="57"/>
      <c r="AW75" s="13"/>
      <c r="AX75" s="13"/>
      <c r="AY75" s="13"/>
      <c r="AZ75" s="13"/>
      <c r="BA75" s="13">
        <v>5</v>
      </c>
      <c r="BB75" s="13"/>
      <c r="BC75" s="13"/>
      <c r="BD75" s="13">
        <v>2</v>
      </c>
      <c r="BE75" s="13"/>
      <c r="BF75" s="13"/>
      <c r="BG75" s="39"/>
      <c r="BH75" s="39">
        <v>0.02</v>
      </c>
      <c r="BI75" s="39">
        <v>0.15</v>
      </c>
      <c r="BJ75" s="281"/>
      <c r="BK75" s="57"/>
    </row>
    <row r="76" spans="1:63" x14ac:dyDescent="0.25">
      <c r="A76" s="35" t="s">
        <v>439</v>
      </c>
      <c r="B76" s="55" t="s">
        <v>519</v>
      </c>
      <c r="C76" s="285">
        <f>SUM(AllMix[[#This Row],[Black Sunflowers]:[Canary Mix]])</f>
        <v>100</v>
      </c>
      <c r="D76" s="45"/>
      <c r="E76" s="45">
        <v>2</v>
      </c>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v>4</v>
      </c>
      <c r="AF76" s="45"/>
      <c r="AG76" s="45"/>
      <c r="AH76" s="45"/>
      <c r="AI76" s="45"/>
      <c r="AJ76" s="45"/>
      <c r="AK76" s="45"/>
      <c r="AL76" s="45"/>
      <c r="AM76" s="57"/>
      <c r="AN76" s="57"/>
      <c r="AO76" s="57">
        <v>10</v>
      </c>
      <c r="AP76" s="57">
        <v>5</v>
      </c>
      <c r="AQ76" s="57">
        <v>5</v>
      </c>
      <c r="AR76" s="57">
        <v>5</v>
      </c>
      <c r="AS76" s="57">
        <v>64</v>
      </c>
      <c r="AT76" s="57"/>
      <c r="AU76" s="57"/>
      <c r="AV76" s="57"/>
      <c r="AW76" s="13">
        <v>5</v>
      </c>
      <c r="AX76" s="13"/>
      <c r="AY76" s="13"/>
      <c r="AZ76" s="13"/>
      <c r="BA76" s="13"/>
      <c r="BB76" s="13"/>
      <c r="BC76" s="13"/>
      <c r="BD76" s="13"/>
      <c r="BE76" s="13"/>
      <c r="BF76" s="13"/>
      <c r="BG76" s="39"/>
      <c r="BH76" s="39"/>
      <c r="BI76" s="39"/>
      <c r="BJ76" s="281"/>
      <c r="BK76" s="57"/>
    </row>
    <row r="77" spans="1:63" x14ac:dyDescent="0.25">
      <c r="A77" s="35" t="s">
        <v>439</v>
      </c>
      <c r="B77" s="55" t="s">
        <v>515</v>
      </c>
      <c r="C77" s="285">
        <f>SUM(AllMix[[#This Row],[Black Sunflowers]:[Canary Mix]])</f>
        <v>100</v>
      </c>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57"/>
      <c r="AN77" s="57"/>
      <c r="AO77" s="57"/>
      <c r="AP77" s="57">
        <v>5</v>
      </c>
      <c r="AQ77" s="57">
        <v>5</v>
      </c>
      <c r="AR77" s="57"/>
      <c r="AS77" s="57"/>
      <c r="AT77" s="57"/>
      <c r="AU77" s="57">
        <v>58</v>
      </c>
      <c r="AV77" s="57"/>
      <c r="AW77" s="13"/>
      <c r="AX77" s="13"/>
      <c r="AY77" s="13">
        <v>20</v>
      </c>
      <c r="AZ77" s="13">
        <v>10</v>
      </c>
      <c r="BA77" s="13"/>
      <c r="BB77" s="13"/>
      <c r="BC77" s="13"/>
      <c r="BD77" s="13"/>
      <c r="BE77" s="13">
        <v>2</v>
      </c>
      <c r="BF77" s="13"/>
      <c r="BG77" s="39"/>
      <c r="BH77" s="39"/>
      <c r="BI77" s="39"/>
      <c r="BJ77" s="281"/>
      <c r="BK77" s="57"/>
    </row>
    <row r="78" spans="1:63" x14ac:dyDescent="0.25">
      <c r="A78" s="35" t="s">
        <v>439</v>
      </c>
      <c r="B78" s="55" t="s">
        <v>516</v>
      </c>
      <c r="C78" s="285">
        <f>SUM(AllMix[[#This Row],[Black Sunflowers]:[Canary Mix]])</f>
        <v>100.5</v>
      </c>
      <c r="D78" s="45">
        <v>3</v>
      </c>
      <c r="E78" s="45">
        <v>1</v>
      </c>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v>4</v>
      </c>
      <c r="AF78" s="45"/>
      <c r="AG78" s="45"/>
      <c r="AH78" s="45">
        <v>0.5</v>
      </c>
      <c r="AI78" s="45"/>
      <c r="AJ78" s="45"/>
      <c r="AK78" s="45"/>
      <c r="AL78" s="45"/>
      <c r="AM78" s="57">
        <v>42</v>
      </c>
      <c r="AN78" s="57">
        <v>15</v>
      </c>
      <c r="AO78" s="57">
        <v>15</v>
      </c>
      <c r="AP78" s="57"/>
      <c r="AQ78" s="57"/>
      <c r="AR78" s="57"/>
      <c r="AS78" s="57"/>
      <c r="AT78" s="57">
        <v>20</v>
      </c>
      <c r="AU78" s="57"/>
      <c r="AV78" s="57"/>
      <c r="AW78" s="13"/>
      <c r="AX78" s="13"/>
      <c r="AY78" s="13"/>
      <c r="AZ78" s="13"/>
      <c r="BA78" s="13"/>
      <c r="BB78" s="13"/>
      <c r="BC78" s="13"/>
      <c r="BD78" s="13"/>
      <c r="BE78" s="13"/>
      <c r="BF78" s="13"/>
      <c r="BG78" s="39"/>
      <c r="BH78" s="39"/>
      <c r="BI78" s="39"/>
      <c r="BJ78" s="281"/>
      <c r="BK78" s="57"/>
    </row>
    <row r="79" spans="1:63" x14ac:dyDescent="0.25">
      <c r="A79" s="35" t="s">
        <v>439</v>
      </c>
      <c r="B79" s="55" t="s">
        <v>518</v>
      </c>
      <c r="C79" s="285">
        <f>SUM(AllMix[[#This Row],[Black Sunflowers]:[Canary Mix]])</f>
        <v>99.999999999999986</v>
      </c>
      <c r="D79" s="45">
        <v>2</v>
      </c>
      <c r="E79" s="45">
        <v>1.5</v>
      </c>
      <c r="F79" s="45"/>
      <c r="G79" s="45"/>
      <c r="H79" s="45"/>
      <c r="I79" s="45"/>
      <c r="J79" s="45"/>
      <c r="K79" s="45"/>
      <c r="L79" s="45">
        <v>33.479999999999997</v>
      </c>
      <c r="M79" s="45"/>
      <c r="N79" s="45"/>
      <c r="O79" s="45"/>
      <c r="P79" s="45"/>
      <c r="Q79" s="45"/>
      <c r="R79" s="45"/>
      <c r="S79" s="45"/>
      <c r="T79" s="45"/>
      <c r="U79" s="45"/>
      <c r="V79" s="45"/>
      <c r="W79" s="45"/>
      <c r="X79" s="45"/>
      <c r="Y79" s="45"/>
      <c r="Z79" s="45"/>
      <c r="AA79" s="45"/>
      <c r="AB79" s="45"/>
      <c r="AC79" s="45"/>
      <c r="AD79" s="45"/>
      <c r="AE79" s="45">
        <v>6</v>
      </c>
      <c r="AF79" s="45"/>
      <c r="AG79" s="45"/>
      <c r="AH79" s="45">
        <v>0.75</v>
      </c>
      <c r="AI79" s="45"/>
      <c r="AJ79" s="45"/>
      <c r="AK79" s="45"/>
      <c r="AL79" s="45"/>
      <c r="AM79" s="57">
        <v>3</v>
      </c>
      <c r="AN79" s="57">
        <v>10</v>
      </c>
      <c r="AO79" s="57">
        <v>8</v>
      </c>
      <c r="AP79" s="57">
        <v>7.5</v>
      </c>
      <c r="AQ79" s="57"/>
      <c r="AR79" s="57">
        <v>16.670000000000002</v>
      </c>
      <c r="AS79" s="57"/>
      <c r="AT79" s="57"/>
      <c r="AU79" s="57"/>
      <c r="AV79" s="57"/>
      <c r="AW79" s="13">
        <v>10</v>
      </c>
      <c r="AX79" s="13"/>
      <c r="AY79" s="13"/>
      <c r="AZ79" s="13"/>
      <c r="BA79" s="13"/>
      <c r="BB79" s="13"/>
      <c r="BC79" s="13">
        <v>0.25</v>
      </c>
      <c r="BD79" s="13"/>
      <c r="BE79" s="13"/>
      <c r="BF79" s="13">
        <v>0.85</v>
      </c>
      <c r="BG79" s="39"/>
      <c r="BH79" s="39"/>
      <c r="BI79" s="39"/>
      <c r="BJ79" s="281"/>
      <c r="BK79" s="57"/>
    </row>
    <row r="80" spans="1:63" x14ac:dyDescent="0.25">
      <c r="A80" s="35" t="s">
        <v>439</v>
      </c>
      <c r="B80" s="55" t="s">
        <v>517</v>
      </c>
      <c r="C80" s="285">
        <f>SUM(AllMix[[#This Row],[Black Sunflowers]:[Canary Mix]])</f>
        <v>100.00999999999999</v>
      </c>
      <c r="D80" s="45">
        <v>2</v>
      </c>
      <c r="E80" s="45">
        <v>1.33</v>
      </c>
      <c r="F80" s="45"/>
      <c r="G80" s="45"/>
      <c r="H80" s="45"/>
      <c r="I80" s="45"/>
      <c r="J80" s="45"/>
      <c r="K80" s="45"/>
      <c r="L80" s="45">
        <v>38.159999999999997</v>
      </c>
      <c r="M80" s="45"/>
      <c r="N80" s="45"/>
      <c r="O80" s="45"/>
      <c r="P80" s="45"/>
      <c r="Q80" s="45"/>
      <c r="R80" s="45"/>
      <c r="S80" s="45"/>
      <c r="T80" s="45"/>
      <c r="U80" s="45"/>
      <c r="V80" s="45"/>
      <c r="W80" s="45"/>
      <c r="X80" s="45"/>
      <c r="Y80" s="45"/>
      <c r="Z80" s="45"/>
      <c r="AA80" s="45"/>
      <c r="AB80" s="45"/>
      <c r="AC80" s="45"/>
      <c r="AD80" s="45"/>
      <c r="AE80" s="45">
        <v>6</v>
      </c>
      <c r="AF80" s="45"/>
      <c r="AG80" s="45"/>
      <c r="AH80" s="45">
        <v>0.75</v>
      </c>
      <c r="AI80" s="45"/>
      <c r="AJ80" s="45"/>
      <c r="AK80" s="45"/>
      <c r="AL80" s="45"/>
      <c r="AM80" s="57">
        <v>4</v>
      </c>
      <c r="AN80" s="57">
        <v>10</v>
      </c>
      <c r="AO80" s="57">
        <v>10</v>
      </c>
      <c r="AP80" s="57"/>
      <c r="AQ80" s="57"/>
      <c r="AR80" s="57">
        <v>16.670000000000002</v>
      </c>
      <c r="AS80" s="57"/>
      <c r="AT80" s="57"/>
      <c r="AU80" s="57"/>
      <c r="AV80" s="57"/>
      <c r="AW80" s="13">
        <v>10</v>
      </c>
      <c r="AX80" s="13"/>
      <c r="AY80" s="13"/>
      <c r="AZ80" s="13"/>
      <c r="BA80" s="13"/>
      <c r="BB80" s="13"/>
      <c r="BC80" s="13">
        <v>0.25</v>
      </c>
      <c r="BD80" s="13"/>
      <c r="BE80" s="13"/>
      <c r="BF80" s="13">
        <v>0.85</v>
      </c>
      <c r="BG80" s="39"/>
      <c r="BH80" s="39"/>
      <c r="BI80" s="39"/>
      <c r="BJ80" s="281"/>
      <c r="BK80" s="57"/>
    </row>
    <row r="81" spans="1:65" s="59" customFormat="1" x14ac:dyDescent="0.25">
      <c r="A81" s="56" t="s">
        <v>439</v>
      </c>
      <c r="B81" s="55" t="s">
        <v>521</v>
      </c>
      <c r="C81" s="285">
        <f>SUM(AllMix[[#This Row],[Black Sunflowers]:[Canary Mix]])</f>
        <v>100</v>
      </c>
      <c r="D81" s="45">
        <v>3.33</v>
      </c>
      <c r="E81" s="45"/>
      <c r="F81" s="45"/>
      <c r="G81" s="45"/>
      <c r="H81" s="45"/>
      <c r="I81" s="45"/>
      <c r="J81" s="45"/>
      <c r="K81" s="45"/>
      <c r="L81" s="45"/>
      <c r="M81" s="45"/>
      <c r="N81" s="45"/>
      <c r="O81" s="45"/>
      <c r="P81" s="45"/>
      <c r="Q81" s="45"/>
      <c r="R81" s="45"/>
      <c r="S81" s="45"/>
      <c r="T81" s="45"/>
      <c r="U81" s="45"/>
      <c r="V81" s="45"/>
      <c r="W81" s="45"/>
      <c r="X81" s="45"/>
      <c r="Y81" s="45"/>
      <c r="Z81" s="45">
        <v>18.329999999999998</v>
      </c>
      <c r="AA81" s="45"/>
      <c r="AB81" s="45">
        <v>27.92</v>
      </c>
      <c r="AC81" s="45"/>
      <c r="AD81" s="45"/>
      <c r="AE81" s="45">
        <v>5.67</v>
      </c>
      <c r="AF81" s="45"/>
      <c r="AG81" s="45"/>
      <c r="AH81" s="45"/>
      <c r="AI81" s="45"/>
      <c r="AJ81" s="45"/>
      <c r="AK81" s="45"/>
      <c r="AL81" s="45"/>
      <c r="AM81" s="57">
        <v>4.17</v>
      </c>
      <c r="AN81" s="57"/>
      <c r="AO81" s="57"/>
      <c r="AP81" s="57">
        <v>5</v>
      </c>
      <c r="AQ81" s="57">
        <v>5</v>
      </c>
      <c r="AR81" s="57">
        <v>18.329999999999998</v>
      </c>
      <c r="AS81" s="57"/>
      <c r="AT81" s="57"/>
      <c r="AU81" s="57"/>
      <c r="AV81" s="57"/>
      <c r="AW81" s="45">
        <v>10</v>
      </c>
      <c r="AX81" s="45"/>
      <c r="AY81" s="45"/>
      <c r="AZ81" s="45"/>
      <c r="BA81" s="45"/>
      <c r="BB81" s="45"/>
      <c r="BC81" s="45"/>
      <c r="BD81" s="45"/>
      <c r="BE81" s="45"/>
      <c r="BF81" s="45"/>
      <c r="BG81" s="291">
        <v>2.25</v>
      </c>
      <c r="BH81" s="291"/>
      <c r="BI81" s="291"/>
      <c r="BJ81" s="292"/>
      <c r="BK81" s="57"/>
    </row>
    <row r="82" spans="1:65" x14ac:dyDescent="0.25">
      <c r="A82" s="35" t="s">
        <v>439</v>
      </c>
      <c r="B82" s="55" t="s">
        <v>619</v>
      </c>
      <c r="C82" s="285">
        <f>SUM(AllMix[[#This Row],[Black Sunflowers]:[Canary Mix]])</f>
        <v>100</v>
      </c>
      <c r="D82" s="45">
        <v>2</v>
      </c>
      <c r="E82" s="45">
        <v>1.72</v>
      </c>
      <c r="F82" s="45"/>
      <c r="G82" s="45"/>
      <c r="H82" s="45"/>
      <c r="I82" s="45"/>
      <c r="J82" s="45"/>
      <c r="K82" s="45"/>
      <c r="L82" s="45">
        <v>42.6</v>
      </c>
      <c r="M82" s="45"/>
      <c r="N82" s="45"/>
      <c r="O82" s="45"/>
      <c r="P82" s="45"/>
      <c r="Q82" s="45"/>
      <c r="R82" s="45"/>
      <c r="S82" s="45"/>
      <c r="T82" s="45"/>
      <c r="U82" s="45"/>
      <c r="V82" s="45"/>
      <c r="W82" s="45"/>
      <c r="X82" s="45"/>
      <c r="Y82" s="45"/>
      <c r="Z82" s="45">
        <v>12</v>
      </c>
      <c r="AA82" s="45"/>
      <c r="AB82" s="45"/>
      <c r="AC82" s="45"/>
      <c r="AD82" s="45"/>
      <c r="AE82" s="45">
        <v>5</v>
      </c>
      <c r="AF82" s="45"/>
      <c r="AG82" s="45"/>
      <c r="AH82" s="45">
        <v>0.68</v>
      </c>
      <c r="AI82" s="45"/>
      <c r="AJ82" s="45"/>
      <c r="AK82" s="45"/>
      <c r="AL82" s="45"/>
      <c r="AM82" s="57"/>
      <c r="AN82" s="57">
        <v>12</v>
      </c>
      <c r="AO82" s="57">
        <v>7</v>
      </c>
      <c r="AP82" s="57"/>
      <c r="AQ82" s="57"/>
      <c r="AR82" s="57">
        <v>16</v>
      </c>
      <c r="AS82" s="57"/>
      <c r="AT82" s="57"/>
      <c r="AU82" s="57"/>
      <c r="AV82" s="57"/>
      <c r="AW82" s="13"/>
      <c r="AX82" s="13"/>
      <c r="AY82" s="13"/>
      <c r="AZ82" s="13"/>
      <c r="BA82" s="13"/>
      <c r="BB82" s="13"/>
      <c r="BC82" s="13">
        <v>0.25</v>
      </c>
      <c r="BD82" s="13"/>
      <c r="BE82" s="13"/>
      <c r="BF82" s="13">
        <v>0.75</v>
      </c>
      <c r="BG82" s="39"/>
      <c r="BH82" s="39"/>
      <c r="BI82" s="39"/>
      <c r="BJ82" s="281"/>
      <c r="BK82" s="57"/>
    </row>
    <row r="83" spans="1:65" x14ac:dyDescent="0.25">
      <c r="A83" s="35" t="s">
        <v>439</v>
      </c>
      <c r="B83" s="55" t="s">
        <v>523</v>
      </c>
      <c r="C83" s="285">
        <f>SUM(AllMix[[#This Row],[Black Sunflowers]:[Canary Mix]])</f>
        <v>100.01</v>
      </c>
      <c r="D83" s="45">
        <v>4.17</v>
      </c>
      <c r="E83" s="45">
        <v>1</v>
      </c>
      <c r="F83" s="45"/>
      <c r="G83" s="45"/>
      <c r="H83" s="45"/>
      <c r="I83" s="45"/>
      <c r="J83" s="45"/>
      <c r="K83" s="45"/>
      <c r="L83" s="45"/>
      <c r="M83" s="45"/>
      <c r="N83" s="45"/>
      <c r="O83" s="45"/>
      <c r="P83" s="45"/>
      <c r="Q83" s="45"/>
      <c r="R83" s="45"/>
      <c r="S83" s="45"/>
      <c r="T83" s="45"/>
      <c r="U83" s="45"/>
      <c r="V83" s="45"/>
      <c r="W83" s="45"/>
      <c r="X83" s="45"/>
      <c r="Y83" s="45"/>
      <c r="Z83" s="45">
        <v>20</v>
      </c>
      <c r="AA83" s="45"/>
      <c r="AB83" s="45"/>
      <c r="AC83" s="45"/>
      <c r="AD83" s="45"/>
      <c r="AE83" s="45">
        <v>6</v>
      </c>
      <c r="AF83" s="45"/>
      <c r="AG83" s="45"/>
      <c r="AH83" s="45"/>
      <c r="AI83" s="45"/>
      <c r="AJ83" s="45"/>
      <c r="AK83" s="45"/>
      <c r="AL83" s="45"/>
      <c r="AM83" s="57">
        <v>4.17</v>
      </c>
      <c r="AN83" s="57"/>
      <c r="AO83" s="57">
        <v>30</v>
      </c>
      <c r="AP83" s="57"/>
      <c r="AQ83" s="57"/>
      <c r="AR83" s="57">
        <v>20</v>
      </c>
      <c r="AS83" s="57"/>
      <c r="AT83" s="57"/>
      <c r="AU83" s="57"/>
      <c r="AV83" s="57"/>
      <c r="AW83" s="13">
        <v>11.67</v>
      </c>
      <c r="AX83" s="13"/>
      <c r="AY83" s="13"/>
      <c r="AZ83" s="13"/>
      <c r="BA83" s="13"/>
      <c r="BB83" s="13"/>
      <c r="BC83" s="13"/>
      <c r="BD83" s="13"/>
      <c r="BE83" s="13"/>
      <c r="BF83" s="13"/>
      <c r="BG83" s="39">
        <v>3</v>
      </c>
      <c r="BH83" s="39"/>
      <c r="BI83" s="39"/>
      <c r="BJ83" s="281"/>
      <c r="BK83" s="57"/>
    </row>
    <row r="84" spans="1:65" x14ac:dyDescent="0.25">
      <c r="A84" s="35" t="s">
        <v>439</v>
      </c>
      <c r="B84" s="55" t="s">
        <v>522</v>
      </c>
      <c r="C84" s="285">
        <f>SUM(AllMix[[#This Row],[Black Sunflowers]:[Canary Mix]])</f>
        <v>100</v>
      </c>
      <c r="D84" s="45">
        <v>1.88</v>
      </c>
      <c r="E84" s="45">
        <v>1.5</v>
      </c>
      <c r="F84" s="45"/>
      <c r="G84" s="45"/>
      <c r="H84" s="45"/>
      <c r="I84" s="45"/>
      <c r="J84" s="45"/>
      <c r="K84" s="45"/>
      <c r="L84" s="45">
        <v>22.38</v>
      </c>
      <c r="M84" s="45"/>
      <c r="N84" s="45"/>
      <c r="O84" s="45"/>
      <c r="P84" s="45"/>
      <c r="Q84" s="45"/>
      <c r="R84" s="45"/>
      <c r="S84" s="45"/>
      <c r="T84" s="45"/>
      <c r="U84" s="45"/>
      <c r="V84" s="45"/>
      <c r="W84" s="45"/>
      <c r="X84" s="45"/>
      <c r="Y84" s="45"/>
      <c r="Z84" s="45"/>
      <c r="AA84" s="45"/>
      <c r="AB84" s="257">
        <v>8</v>
      </c>
      <c r="AC84" s="45"/>
      <c r="AD84" s="45"/>
      <c r="AE84" s="257">
        <v>5.62</v>
      </c>
      <c r="AF84" s="45"/>
      <c r="AG84" s="45"/>
      <c r="AH84" s="257">
        <v>0.5</v>
      </c>
      <c r="AI84" s="45"/>
      <c r="AJ84" s="45"/>
      <c r="AK84" s="45"/>
      <c r="AL84" s="45"/>
      <c r="AM84" s="57">
        <v>22</v>
      </c>
      <c r="AN84" s="57"/>
      <c r="AO84" s="57"/>
      <c r="AP84" s="31">
        <v>6.25</v>
      </c>
      <c r="AQ84" s="57">
        <v>6.25</v>
      </c>
      <c r="AR84" s="57">
        <v>17.5</v>
      </c>
      <c r="AS84" s="57">
        <v>7.5</v>
      </c>
      <c r="AT84" s="57"/>
      <c r="AU84" s="57"/>
      <c r="AV84" s="57"/>
      <c r="AW84" s="31"/>
      <c r="AX84" s="31"/>
      <c r="AY84" s="31"/>
      <c r="AZ84" s="31"/>
      <c r="BA84" s="31"/>
      <c r="BB84" s="31"/>
      <c r="BC84" s="31"/>
      <c r="BD84" s="31"/>
      <c r="BE84" s="31"/>
      <c r="BF84" s="31">
        <v>0.62</v>
      </c>
      <c r="BG84" s="40"/>
      <c r="BH84" s="40"/>
      <c r="BI84" s="40"/>
      <c r="BJ84" s="282"/>
      <c r="BK84" s="57"/>
    </row>
    <row r="85" spans="1:65" x14ac:dyDescent="0.25">
      <c r="A85" s="223" t="s">
        <v>439</v>
      </c>
      <c r="B85" s="224" t="s">
        <v>525</v>
      </c>
      <c r="C85" s="285">
        <f>SUM(AllMix[[#This Row],[Black Sunflowers]:[Canary Mix]])</f>
        <v>100</v>
      </c>
      <c r="D85" s="225">
        <v>3.33</v>
      </c>
      <c r="E85" s="225"/>
      <c r="F85" s="225"/>
      <c r="G85" s="225"/>
      <c r="H85" s="225"/>
      <c r="I85" s="225"/>
      <c r="J85" s="225"/>
      <c r="K85" s="225"/>
      <c r="L85" s="225"/>
      <c r="M85" s="225"/>
      <c r="N85" s="225"/>
      <c r="O85" s="225"/>
      <c r="P85" s="225"/>
      <c r="Q85" s="225"/>
      <c r="R85" s="225"/>
      <c r="S85" s="225"/>
      <c r="T85" s="225"/>
      <c r="U85" s="225"/>
      <c r="V85" s="225"/>
      <c r="W85" s="225"/>
      <c r="X85" s="225"/>
      <c r="Y85" s="225"/>
      <c r="Z85" s="225">
        <v>18.329999999999998</v>
      </c>
      <c r="AA85" s="225"/>
      <c r="AB85" s="225">
        <v>27.92</v>
      </c>
      <c r="AC85" s="225"/>
      <c r="AD85" s="225"/>
      <c r="AE85" s="225">
        <v>5.67</v>
      </c>
      <c r="AF85" s="225"/>
      <c r="AG85" s="225"/>
      <c r="AH85" s="225"/>
      <c r="AI85" s="225"/>
      <c r="AJ85" s="225"/>
      <c r="AK85" s="225"/>
      <c r="AL85" s="225"/>
      <c r="AM85" s="57">
        <v>4.17</v>
      </c>
      <c r="AN85" s="57"/>
      <c r="AO85" s="57"/>
      <c r="AP85" s="57">
        <v>5</v>
      </c>
      <c r="AQ85" s="57">
        <v>5</v>
      </c>
      <c r="AR85" s="57">
        <v>18.329999999999998</v>
      </c>
      <c r="AS85" s="57"/>
      <c r="AT85" s="57"/>
      <c r="AU85" s="57"/>
      <c r="AV85" s="57"/>
      <c r="AW85" s="13">
        <v>10</v>
      </c>
      <c r="AX85" s="13"/>
      <c r="AY85" s="13"/>
      <c r="AZ85" s="13"/>
      <c r="BA85" s="13"/>
      <c r="BB85" s="13"/>
      <c r="BC85" s="13"/>
      <c r="BD85" s="13"/>
      <c r="BE85" s="13"/>
      <c r="BF85" s="13"/>
      <c r="BG85" s="39">
        <v>2.25</v>
      </c>
      <c r="BH85" s="39"/>
      <c r="BI85" s="39"/>
      <c r="BJ85" s="281"/>
      <c r="BK85" s="57"/>
    </row>
    <row r="86" spans="1:65" x14ac:dyDescent="0.25">
      <c r="A86" s="37"/>
      <c r="BK86" s="38"/>
    </row>
    <row r="87" spans="1:65" x14ac:dyDescent="0.25">
      <c r="A87" s="37"/>
      <c r="BK87" s="38"/>
    </row>
    <row r="88" spans="1:65" x14ac:dyDescent="0.25">
      <c r="A88" s="37"/>
      <c r="B88" s="6"/>
      <c r="C88" s="47"/>
      <c r="D88" s="47"/>
      <c r="BK88" s="38"/>
    </row>
    <row r="89" spans="1:65" x14ac:dyDescent="0.25">
      <c r="A89" s="37"/>
      <c r="B89" s="6"/>
      <c r="C89" s="47"/>
      <c r="D89" s="47"/>
      <c r="BK89" s="38"/>
    </row>
    <row r="90" spans="1:65" x14ac:dyDescent="0.25">
      <c r="A90" s="37"/>
      <c r="B90" s="6"/>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row>
    <row r="91" spans="1:65" x14ac:dyDescent="0.25">
      <c r="A91" s="37"/>
      <c r="B91" s="6"/>
      <c r="C91" s="47"/>
      <c r="D91" s="47"/>
      <c r="BK91" s="38"/>
    </row>
    <row r="92" spans="1:65" x14ac:dyDescent="0.25">
      <c r="A92" s="37"/>
      <c r="B92" s="6"/>
      <c r="C92" s="47"/>
      <c r="D92" s="47"/>
      <c r="BK92" s="38"/>
    </row>
    <row r="93" spans="1:65" x14ac:dyDescent="0.25">
      <c r="A93" s="37"/>
      <c r="B93" s="6"/>
      <c r="C93" s="47"/>
      <c r="D93" s="47"/>
      <c r="BK93" s="38"/>
    </row>
    <row r="94" spans="1:65" x14ac:dyDescent="0.25">
      <c r="A94" s="37"/>
      <c r="B94" s="6"/>
      <c r="C94" s="47"/>
      <c r="D94" s="47"/>
      <c r="BK94" s="38"/>
    </row>
    <row r="95" spans="1:65" x14ac:dyDescent="0.25">
      <c r="A95" s="37"/>
      <c r="B95" s="6"/>
      <c r="E95" s="47"/>
      <c r="G95" s="47"/>
      <c r="I95" s="47"/>
      <c r="K95" s="47"/>
      <c r="N95" s="47"/>
      <c r="P95" s="47"/>
      <c r="R95" s="47"/>
      <c r="T95" s="47"/>
      <c r="V95" s="47"/>
      <c r="X95" s="47"/>
      <c r="Z95" s="47"/>
      <c r="AB95" s="47"/>
      <c r="AD95" s="47"/>
      <c r="AF95" s="47"/>
      <c r="AH95" s="47"/>
      <c r="AJ95" s="47"/>
      <c r="AL95" s="47"/>
      <c r="AN95" s="47"/>
      <c r="AP95" s="47"/>
      <c r="AR95" s="47"/>
      <c r="AT95" s="47"/>
      <c r="AV95" s="47"/>
      <c r="AX95" s="47"/>
      <c r="AZ95" s="47"/>
      <c r="BB95" s="47"/>
      <c r="BD95" s="47"/>
      <c r="BF95" s="47"/>
      <c r="BH95" s="47"/>
      <c r="BK95" s="47"/>
      <c r="BL95" s="47"/>
    </row>
    <row r="96" spans="1:65" x14ac:dyDescent="0.25">
      <c r="A96" s="37"/>
      <c r="C96" s="11"/>
      <c r="D96" s="11"/>
      <c r="BL96" s="6"/>
      <c r="BM96" s="14"/>
    </row>
    <row r="97" spans="1:71" x14ac:dyDescent="0.25">
      <c r="A97" s="244" t="s">
        <v>620</v>
      </c>
      <c r="C97" s="11"/>
      <c r="D97" s="11"/>
      <c r="E97" s="247"/>
      <c r="F97" s="247"/>
      <c r="G97" s="247"/>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6"/>
      <c r="BM97" s="14"/>
    </row>
    <row r="98" spans="1:71" s="6" customFormat="1" x14ac:dyDescent="0.25"/>
    <row r="99" spans="1:71" ht="225" x14ac:dyDescent="0.25">
      <c r="A99" s="15" t="str">
        <f>AllMix[[#Headers],[Client]]</f>
        <v>Client</v>
      </c>
      <c r="B99" s="15" t="str">
        <f>AllMix[[#Headers],[Product]]</f>
        <v>Product</v>
      </c>
      <c r="C99" s="241" t="s">
        <v>554</v>
      </c>
      <c r="D99" s="241" t="s">
        <v>621</v>
      </c>
      <c r="E99" s="21" t="str">
        <f>AllMix[[#Headers],[Black Sunflowers]]</f>
        <v>Black Sunflowers</v>
      </c>
      <c r="F99" s="21" t="str">
        <f>AllMix[[#Headers],[Canola Oil]]</f>
        <v>Canola Oil</v>
      </c>
      <c r="G99" s="21" t="str">
        <f>AllMix[[#Headers],[Canola]]</f>
        <v>Canola</v>
      </c>
      <c r="H99" s="21" t="str">
        <f>AllMix[[#Headers],[Grey Sunflowers]]</f>
        <v>Grey Sunflowers</v>
      </c>
      <c r="I99" s="21" t="str">
        <f>AllMix[[#Headers],[Hulled Oats]]</f>
        <v>Hulled Oats</v>
      </c>
      <c r="J99" s="21" t="str">
        <f>AllMix[[#Headers],[Linseed]]</f>
        <v>Linseed</v>
      </c>
      <c r="K99" s="21" t="str">
        <f>AllMix[[#Headers],[Maize]]</f>
        <v>Maize</v>
      </c>
      <c r="L99" s="21" t="str">
        <f>AllMix[[#Headers],[Cleaned Oats]]</f>
        <v>Cleaned Oats</v>
      </c>
      <c r="M99" s="21" t="str">
        <f>AllMix[[#Headers],[Uncleaned Oats]]</f>
        <v>Uncleaned Oats</v>
      </c>
      <c r="N99" s="21" t="str">
        <f>AllMix[[#Headers],[Pano]]</f>
        <v>Pano</v>
      </c>
      <c r="O99" s="21" t="str">
        <f>AllMix[[#Headers],[Peas]]</f>
        <v>Peas</v>
      </c>
      <c r="P99" s="21" t="str">
        <f>AllMix[[#Headers],[Plain Canary]]</f>
        <v>Plain Canary</v>
      </c>
      <c r="Q99" s="21" t="str">
        <f>AllMix[[#Headers],[Popcorn]]</f>
        <v>Popcorn</v>
      </c>
      <c r="R99" s="21" t="str">
        <f>AllMix[[#Headers],[Safflower]]</f>
        <v>Safflower</v>
      </c>
      <c r="S99" s="21" t="str">
        <f>AllMix[[#Headers],[Sorghum]]</f>
        <v>Sorghum</v>
      </c>
      <c r="T99" s="21" t="str">
        <f>AllMix[[#Headers],[Vetch]]</f>
        <v>Vetch</v>
      </c>
      <c r="U99" s="21" t="str">
        <f>AllMix[[#Headers],[Wheat]]</f>
        <v>Wheat</v>
      </c>
      <c r="V99" s="21" t="str">
        <f>AllMix[[#Headers],[White French Millet]]</f>
        <v>White French Millet</v>
      </c>
      <c r="W99" s="21" t="str">
        <f>AllMix[[#Headers],[Barley]]</f>
        <v>Barley</v>
      </c>
      <c r="X99" s="21" t="str">
        <f>AllMix[[#Headers],[Brown Rice]]</f>
        <v>Brown Rice</v>
      </c>
      <c r="Y99" s="21" t="str">
        <f>AllMix[[#Headers],[Hard Wheat]]</f>
        <v>Hard Wheat</v>
      </c>
      <c r="Z99" s="21" t="str">
        <f>AllMix[[#Headers],[Mung Beans]]</f>
        <v>Mung Beans</v>
      </c>
      <c r="AA99" s="21" t="str">
        <f>AllMix[[#Headers],[Cracked Maize 20kg]]</f>
        <v>Cracked Maize 20kg</v>
      </c>
      <c r="AB99" s="21" t="str">
        <f>AllMix[[#Headers],[Canola Meal]]</f>
        <v>Canola Meal</v>
      </c>
      <c r="AC99" s="21" t="str">
        <f>AllMix[[#Headers],[Cracked Lupins Cleaned and Graded 20kg]]</f>
        <v>Cracked Lupins Cleaned and Graded 20kg</v>
      </c>
      <c r="AD99" s="21" t="str">
        <f>AllMix[[#Headers],[Dicalicium Phosphate]]</f>
        <v>Dicalicium Phosphate</v>
      </c>
      <c r="AE99" s="21" t="str">
        <f>AllMix[[#Headers],[Medium Shell Grit]]</f>
        <v>Medium Shell Grit</v>
      </c>
      <c r="AF99" s="21" t="str">
        <f>AllMix[[#Headers],[Molafos]]</f>
        <v>Molafos</v>
      </c>
      <c r="AG99" s="21" t="str">
        <f>AllMix[[#Headers],[Premuim Layer Premix]]</f>
        <v>Premuim Layer Premix</v>
      </c>
      <c r="AH99" s="21" t="str">
        <f>AllMix[[#Headers],[Rabbit Pellets]]</f>
        <v>Rabbit Pellets</v>
      </c>
      <c r="AI99" s="21" t="str">
        <f>AllMix[[#Headers],[Salt]]</f>
        <v>Salt</v>
      </c>
      <c r="AJ99" s="21" t="str">
        <f>AllMix[[#Headers],[Limestone]]</f>
        <v>Limestone</v>
      </c>
      <c r="AK99" s="21" t="str">
        <f>AllMix[[#Headers],[Layer Protein Pellets]]</f>
        <v>Layer Protein Pellets</v>
      </c>
      <c r="AL99" s="21" t="str">
        <f>AllMix[[#Headers],[Breeder Pre Mix]]</f>
        <v>Breeder Pre Mix</v>
      </c>
      <c r="AM99" s="21" t="str">
        <f>AllMix[[#Headers],[Last bag of pigeon mix]]</f>
        <v>Last bag of pigeon mix</v>
      </c>
      <c r="AN99" s="21" t="str">
        <f>AllMix[[#Headers],[Steamed &amp; Rolled Barley]]</f>
        <v>Steamed &amp; Rolled Barley</v>
      </c>
      <c r="AO99" s="21" t="str">
        <f>AllMix[[#Headers],[Steamed &amp; Rolled Maize]]</f>
        <v>Steamed &amp; Rolled Maize</v>
      </c>
      <c r="AP99" s="21" t="str">
        <f>AllMix[[#Headers],[Steamed &amp; Rolled Lupins]]</f>
        <v>Steamed &amp; Rolled Lupins</v>
      </c>
      <c r="AQ99" s="21" t="str">
        <f>AllMix[[#Headers],[Lucerne Chaff]]</f>
        <v>Lucerne Chaff</v>
      </c>
      <c r="AR99" s="21" t="str">
        <f>AllMix[[#Headers],[Oaten Chaff]]</f>
        <v>Oaten Chaff</v>
      </c>
      <c r="AS99" s="21" t="str">
        <f>AllMix[[#Headers],[All Phase]]</f>
        <v>All Phase</v>
      </c>
      <c r="AT99" s="21" t="str">
        <f>AllMix[[#Headers],[Breed n Grow BMC]]</f>
        <v>Breed n Grow BMC</v>
      </c>
      <c r="AU99" s="21" t="str">
        <f>AllMix[[#Headers],[Calm Performer]]</f>
        <v>Calm Performer</v>
      </c>
      <c r="AV99" s="21" t="str">
        <f>AllMix[[#Headers],[Stud Balancer]]</f>
        <v>Stud Balancer</v>
      </c>
      <c r="AW99" s="21" t="str">
        <f>AllMix[[#Headers],[Synergy]]</f>
        <v>Synergy</v>
      </c>
      <c r="AX99" s="21" t="str">
        <f>AllMix[[#Headers],[Equijewel]]</f>
        <v>Equijewel</v>
      </c>
      <c r="AY99" s="21" t="str">
        <f>AllMix[[#Headers],[KER Gold]]</f>
        <v>KER Gold</v>
      </c>
      <c r="AZ99" s="21" t="str">
        <f>AllMix[[#Headers],[Fibre Phase]]</f>
        <v>Fibre Phase</v>
      </c>
      <c r="BA99" s="21" t="str">
        <f>AllMix[[#Headers],[Lucerne Pellet]]</f>
        <v>Lucerne Pellet</v>
      </c>
      <c r="BB99" s="21" t="str">
        <f>AllMix[[#Headers],[Bran]]</f>
        <v>Bran</v>
      </c>
      <c r="BC99" s="21" t="str">
        <f>AllMix[[#Headers],[Pollard]]</f>
        <v>Pollard</v>
      </c>
      <c r="BD99" s="21" t="str">
        <f>AllMix[[#Headers],[Preserve]]</f>
        <v>Preserve</v>
      </c>
      <c r="BE99" s="21" t="str">
        <f>AllMix[[#Headers],[Restore]]</f>
        <v>Restore</v>
      </c>
      <c r="BF99" s="21" t="str">
        <f>AllMix[[#Headers],[EO3 Oil]]</f>
        <v>EO3 Oil</v>
      </c>
      <c r="BG99" s="21" t="str">
        <f>AllMix[[#Headers],[Acid Buf]]</f>
        <v>Acid Buf</v>
      </c>
      <c r="BH99" s="21" t="str">
        <f>AllMix[[#Headers],[Triaction]]</f>
        <v>Triaction</v>
      </c>
      <c r="BI99" s="21" t="str">
        <f>AllMix[[#Headers],[Apple Flavouring]]</f>
        <v>Apple Flavouring</v>
      </c>
      <c r="BJ99" s="21" t="str">
        <f>AllMix[[#Headers],[Lupins]]</f>
        <v>Lupins</v>
      </c>
      <c r="BK99" s="21" t="str">
        <f>AllMix[[#Headers],[Mould Inhibitor]]</f>
        <v>Mould Inhibitor</v>
      </c>
      <c r="BL99" s="21" t="str">
        <f>AllMix[[#Headers],[Canary Mix]]</f>
        <v>Canary Mix</v>
      </c>
      <c r="BM99" s="14"/>
      <c r="BO99" s="46"/>
    </row>
    <row r="100" spans="1:71" x14ac:dyDescent="0.25">
      <c r="A100" s="17" t="str" cm="1">
        <f t="array" ref="A100:A183">AllMix[[#Data],[Client]]</f>
        <v>Specialty</v>
      </c>
      <c r="B100" s="17" t="str" cm="1">
        <f t="array" ref="B100:B183">AllMix[[#Data],[Product]]</f>
        <v>Blue Budgie</v>
      </c>
      <c r="C100" s="242">
        <f>SUM(E100:BX100)</f>
        <v>1449.3</v>
      </c>
      <c r="D100" s="243">
        <f t="shared" ref="D100:D131" si="0">C100/VLOOKUP(B100,$B$2:$BK$93,2,FALSE)</f>
        <v>1.2493965517241379</v>
      </c>
      <c r="E100" s="18" cm="1">
        <f t="array" ref="E100:E183">AllMix[[#Data],[Black Sunflowers]]*VLOOKUP(E$99,'C- Raw Products Costs'!$A$3:$H$80,8,FALSE)</f>
        <v>0</v>
      </c>
      <c r="F100" s="18" cm="1">
        <f t="array" ref="F100:F183">AllMix[[#Data],[Canola Oil]]*VLOOKUP(F$99,'C- Raw Products Costs'!$A$3:$H$80,8,FALSE)</f>
        <v>0</v>
      </c>
      <c r="G100" s="18" cm="1">
        <f t="array" ref="G100:G183">AllMix[[#Data],[Canola]]*VLOOKUP(G$99,'C- Raw Products Costs'!$A$3:$H$80,8,FALSE)</f>
        <v>0</v>
      </c>
      <c r="H100" s="18" cm="1">
        <f t="array" ref="H100:H183">AllMix[[#Data],[Grey Sunflowers]]*VLOOKUP(H$99,'C- Raw Products Costs'!$A$3:$H$80,8,FALSE)</f>
        <v>0</v>
      </c>
      <c r="I100" s="18" cm="1">
        <f t="array" ref="I100:I183">AllMix[[#Data],[Hulled Oats]]*VLOOKUP(I$99,'C- Raw Products Costs'!$A$3:$H$80,8,FALSE)</f>
        <v>180.9</v>
      </c>
      <c r="J100" s="18" cm="1">
        <f t="array" ref="J100:J183">AllMix[[#Data],[Linseed]]*VLOOKUP(J$99,'C- Raw Products Costs'!$A$3:$H$80,8,FALSE)</f>
        <v>0</v>
      </c>
      <c r="K100" s="18" cm="1">
        <f t="array" ref="K100:K183">AllMix[[#Data],[Maize]]*VLOOKUP(K$99,'C- Raw Products Costs'!$A$3:$H$80,8,FALSE)</f>
        <v>0</v>
      </c>
      <c r="L100" s="18" cm="1">
        <f t="array" ref="L100:L183">AllMix[[#Data],[Cleaned Oats]]*VLOOKUP(L$99,'C- Raw Products Costs'!$A$3:$H$80,8,FALSE)</f>
        <v>0</v>
      </c>
      <c r="M100" s="18" cm="1">
        <f t="array" ref="M100:M183">AllMix[[#Data],[Uncleaned Oats]]*VLOOKUP(M$99,'C- Raw Products Costs'!$A$3:$H$80,8,FALSE)</f>
        <v>0</v>
      </c>
      <c r="N100" s="18" cm="1">
        <f t="array" ref="N100:N183">AllMix[[#Data],[Pano]]*VLOOKUP(N$99,'C- Raw Products Costs'!$A$3:$H$80,8,FALSE)</f>
        <v>226.79999999999998</v>
      </c>
      <c r="O100" s="18" cm="1">
        <f t="array" ref="O100:O183">AllMix[[#Data],[Peas]]*VLOOKUP(O$99,'C- Raw Products Costs'!$A$3:$H$80,8,FALSE)</f>
        <v>0</v>
      </c>
      <c r="P100" s="18" cm="1">
        <f t="array" ref="P100:P183">AllMix[[#Data],[Plain Canary]]*VLOOKUP(P$99,'C- Raw Products Costs'!$A$3:$H$80,8,FALSE)</f>
        <v>663.6</v>
      </c>
      <c r="Q100" s="18" cm="1">
        <f t="array" ref="Q100:Q183">AllMix[[#Data],[Popcorn]]*VLOOKUP(Q$99,'C- Raw Products Costs'!$A$3:$H$80,8,FALSE)</f>
        <v>0</v>
      </c>
      <c r="R100" s="18" cm="1">
        <f t="array" ref="R100:R183">AllMix[[#Data],[Safflower]]*VLOOKUP(R$99,'C- Raw Products Costs'!$A$3:$H$80,8,FALSE)</f>
        <v>0</v>
      </c>
      <c r="S100" s="18" cm="1">
        <f t="array" ref="S100:S183">AllMix[[#Data],[Sorghum]]*VLOOKUP(S$99,'C- Raw Products Costs'!$A$3:$H$80,8,FALSE)</f>
        <v>0</v>
      </c>
      <c r="T100" s="18" cm="1">
        <f t="array" ref="T100:T183">AllMix[[#Data],[Vetch]]*VLOOKUP(T$99,'C- Raw Products Costs'!$A$3:$H$80,8,FALSE)</f>
        <v>0</v>
      </c>
      <c r="U100" s="18" cm="1">
        <f t="array" ref="U100:U183">AllMix[[#Data],[Wheat]]*VLOOKUP(U$99,'C- Raw Products Costs'!$A$3:$H$80,8,FALSE)</f>
        <v>0</v>
      </c>
      <c r="V100" s="18" cm="1">
        <f t="array" ref="V100:V183">AllMix[[#Data],[White French Millet]]*VLOOKUP(V$99,'C- Raw Products Costs'!$A$3:$H$80,8,FALSE)</f>
        <v>378</v>
      </c>
      <c r="W100" s="18" cm="1">
        <f t="array" ref="W100:W183">AllMix[[#Data],[Barley]]*VLOOKUP(W$99,'C- Raw Products Costs'!$A$3:$H$80,8,FALSE)</f>
        <v>0</v>
      </c>
      <c r="X100" s="18" cm="1">
        <f t="array" ref="X100:X183">AllMix[[#Data],[Brown Rice]]*VLOOKUP(X$99,'C- Raw Products Costs'!$A$3:$H$80,8,FALSE)</f>
        <v>0</v>
      </c>
      <c r="Y100" s="18" cm="1">
        <f t="array" ref="Y100:Y183">AllMix[[#Data],[Hard Wheat]]*VLOOKUP(Y$99,'C- Raw Products Costs'!$A$3:$H$80,8,FALSE)</f>
        <v>0</v>
      </c>
      <c r="Z100" s="18" cm="1">
        <f t="array" ref="Z100:Z183">AllMix[[#Data],[Mung Beans]]*VLOOKUP(Z$99,'C- Raw Products Costs'!$A$3:$H$80,8,FALSE)</f>
        <v>0</v>
      </c>
      <c r="AA100" s="18" cm="1">
        <f t="array" ref="AA100:AA183">AllMix[[#Data],[Cracked Maize 20kg]]*VLOOKUP(AA$99,'C- Raw Products Costs'!$A$3:$H$80,8,FALSE)</f>
        <v>0</v>
      </c>
      <c r="AB100" s="18" cm="1">
        <f t="array" ref="AB100:AB183">AllMix[[#Data],[Canola Meal]]*VLOOKUP(AB$99,'C- Raw Products Costs'!$A$3:$H$80,8,FALSE)</f>
        <v>0</v>
      </c>
      <c r="AC100" s="18" cm="1">
        <f t="array" ref="AC100:AC183">AllMix[[#Data],[Cracked Lupins Cleaned and Graded 20kg]]*VLOOKUP(AC$99,'C- Raw Products Costs'!$A$3:$H$80,8,FALSE)</f>
        <v>0</v>
      </c>
      <c r="AD100" s="18" cm="1">
        <f t="array" ref="AD100:AD183">AllMix[[#Data],[Dicalicium Phosphate]]*VLOOKUP(AD$99,'C- Raw Products Costs'!$A$3:$H$80,8,FALSE)</f>
        <v>0</v>
      </c>
      <c r="AE100" s="18" cm="1">
        <f t="array" ref="AE100:AE183">AllMix[[#Data],[Medium Shell Grit]]*VLOOKUP(AE$99,'C- Raw Products Costs'!$A$3:$H$80,8,FALSE)</f>
        <v>0</v>
      </c>
      <c r="AF100" s="18" cm="1">
        <f t="array" ref="AF100:AF183">AllMix[[#Data],[Molafos]]*VLOOKUP(AF$99,'C- Raw Products Costs'!$A$3:$H$80,8,FALSE)</f>
        <v>0</v>
      </c>
      <c r="AG100" s="18" cm="1">
        <f t="array" ref="AG100:AG183">AllMix[[#Data],[Premuim Layer Premix]]*VLOOKUP(AG$99,'C- Raw Products Costs'!$A$3:$H$80,8,FALSE)</f>
        <v>0</v>
      </c>
      <c r="AH100" s="18" cm="1">
        <f t="array" ref="AH100:AH183">AllMix[[#Data],[Rabbit Pellets]]*VLOOKUP(AH$99,'C- Raw Products Costs'!$A$3:$H$80,8,FALSE)</f>
        <v>0</v>
      </c>
      <c r="AI100" s="18" cm="1">
        <f t="array" ref="AI100:AI183">AllMix[[#Data],[Salt]]*VLOOKUP(AI$99,'C- Raw Products Costs'!$A$3:$H$80,8,FALSE)</f>
        <v>0</v>
      </c>
      <c r="AJ100" s="18" cm="1">
        <f t="array" ref="AJ100:AJ183">AllMix[[#Data],[Limestone]]*VLOOKUP(AJ$99,'C- Raw Products Costs'!$A$3:$H$80,8,FALSE)</f>
        <v>0</v>
      </c>
      <c r="AK100" s="18" cm="1">
        <f t="array" ref="AK100:AK183">AllMix[[#Data],[Layer Protein Pellets]]*VLOOKUP(AK$99,'C- Raw Products Costs'!$A$3:$H$80,8,FALSE)</f>
        <v>0</v>
      </c>
      <c r="AL100" s="18" cm="1">
        <f t="array" ref="AL100:AL183">AllMix[[#Data],[Breeder Pre Mix]]*VLOOKUP(AL$99,'C- Raw Products Costs'!$A$3:$H$80,8,FALSE)</f>
        <v>0</v>
      </c>
      <c r="AM100" s="18" cm="1">
        <f t="array" ref="AM100:AM183">AllMix[[#Data],[Last bag of pigeon mix]]*VLOOKUP(AM$99,'C- Raw Products Costs'!$A$3:$H$80,8,FALSE)</f>
        <v>0</v>
      </c>
      <c r="AN100" s="18" cm="1">
        <f t="array" ref="AN100:AN183">AllMix[[#Data],[Steamed &amp; Rolled Barley]]*VLOOKUP(AN$99,'C- Raw Products Costs'!$A$3:$H$80,8,FALSE)</f>
        <v>0</v>
      </c>
      <c r="AO100" s="18" cm="1">
        <f t="array" ref="AO100:AO183">AllMix[[#Data],[Steamed &amp; Rolled Maize]]*VLOOKUP(AO$99,'C- Raw Products Costs'!$A$3:$H$80,8,FALSE)</f>
        <v>0</v>
      </c>
      <c r="AP100" s="18" cm="1">
        <f t="array" ref="AP100:AP183">AllMix[[#Data],[Steamed &amp; Rolled Lupins]]*VLOOKUP(AP$99,'C- Raw Products Costs'!$A$3:$H$80,8,FALSE)</f>
        <v>0</v>
      </c>
      <c r="AQ100" s="18" cm="1">
        <f t="array" ref="AQ100:AQ183">AllMix[[#Data],[Lucerne Chaff]]*VLOOKUP(AQ$99,'C- Raw Products Costs'!$A$3:$H$80,8,FALSE)</f>
        <v>0</v>
      </c>
      <c r="AR100" s="18" cm="1">
        <f t="array" ref="AR100:AR183">AllMix[[#Data],[Oaten Chaff]]*VLOOKUP(AR$99,'C- Raw Products Costs'!$A$3:$H$80,8,FALSE)</f>
        <v>0</v>
      </c>
      <c r="AS100" s="18" cm="1">
        <f t="array" ref="AS100:AS183">AllMix[[#Data],[All Phase]]*VLOOKUP(AS$99,'C- Raw Products Costs'!$A$3:$H$80,8,FALSE)</f>
        <v>0</v>
      </c>
      <c r="AT100" s="18" cm="1">
        <f t="array" ref="AT100:AT183">AllMix[[#Data],[Breed n Grow BMC]]*VLOOKUP(AT$99,'C- Raw Products Costs'!$A$3:$H$80,8,FALSE)</f>
        <v>0</v>
      </c>
      <c r="AU100" s="18" cm="1">
        <f t="array" ref="AU100:AU183">AllMix[[#Data],[Calm Performer]]*VLOOKUP(AU$99,'C- Raw Products Costs'!$A$3:$H$80,8,FALSE)</f>
        <v>0</v>
      </c>
      <c r="AV100" s="18" cm="1">
        <f t="array" ref="AV100:AV183">AllMix[[#Data],[Stud Balancer]]*VLOOKUP(AV$99,'C- Raw Products Costs'!$A$3:$H$80,8,FALSE)</f>
        <v>0</v>
      </c>
      <c r="AW100" s="18" cm="1">
        <f t="array" ref="AW100:AW183">AllMix[[#Data],[Synergy]]*VLOOKUP(AW$99,'C- Raw Products Costs'!$A$3:$H$80,8,FALSE)</f>
        <v>0</v>
      </c>
      <c r="AX100" s="18" cm="1">
        <f t="array" ref="AX100:AX183">AllMix[[#Data],[Equijewel]]*VLOOKUP(AX$99,'C- Raw Products Costs'!$A$3:$H$80,8,FALSE)</f>
        <v>0</v>
      </c>
      <c r="AY100" s="18" cm="1">
        <f t="array" ref="AY100:AY183">AllMix[[#Data],[KER Gold]]*VLOOKUP(AY$99,'C- Raw Products Costs'!$A$3:$H$80,8,FALSE)</f>
        <v>0</v>
      </c>
      <c r="AZ100" s="18" cm="1">
        <f t="array" ref="AZ100:AZ183">AllMix[[#Data],[Fibre Phase]]*VLOOKUP(AZ$99,'C- Raw Products Costs'!$A$3:$H$80,8,FALSE)</f>
        <v>0</v>
      </c>
      <c r="BA100" s="18" cm="1">
        <f t="array" ref="BA100:BA183">AllMix[[#Data],[Lucerne Pellet]]*VLOOKUP(BA$99,'C- Raw Products Costs'!$A$3:$H$80,8,FALSE)</f>
        <v>0</v>
      </c>
      <c r="BB100" s="18" cm="1">
        <f t="array" ref="BB100:BB183">AllMix[[#Data],[Bran]]*VLOOKUP(BB$99,'C- Raw Products Costs'!$A$3:$H$80,8,FALSE)</f>
        <v>0</v>
      </c>
      <c r="BC100" s="18" cm="1">
        <f t="array" ref="BC100:BC183">AllMix[[#Data],[Pollard]]*VLOOKUP(BC$99,'C- Raw Products Costs'!$A$3:$H$80,8,FALSE)</f>
        <v>0</v>
      </c>
      <c r="BD100" s="18" cm="1">
        <f t="array" ref="BD100:BD183">AllMix[[#Data],[Preserve]]*VLOOKUP(BD$99,'C- Raw Products Costs'!$A$3:$H$80,8,FALSE)</f>
        <v>0</v>
      </c>
      <c r="BE100" s="18" cm="1">
        <f t="array" ref="BE100:BE183">AllMix[[#Data],[Restore]]*VLOOKUP(BE$99,'C- Raw Products Costs'!$A$3:$H$80,8,FALSE)</f>
        <v>0</v>
      </c>
      <c r="BF100" s="18" cm="1">
        <f t="array" ref="BF100:BF183">AllMix[[#Data],[EO3 Oil]]*VLOOKUP(BF$99,'C- Raw Products Costs'!$A$3:$H$80,8,FALSE)</f>
        <v>0</v>
      </c>
      <c r="BG100" s="18" cm="1">
        <f t="array" ref="BG100:BG183">AllMix[[#Data],[Acid Buf]]*VLOOKUP(BG$99,'C- Raw Products Costs'!$A$3:$H$80,8,FALSE)</f>
        <v>0</v>
      </c>
      <c r="BH100" s="18" cm="1">
        <f t="array" ref="BH100:BH183">AllMix[[#Data],[Triaction]]*VLOOKUP(BH$99,'C- Raw Products Costs'!$A$3:$H$80,8,FALSE)</f>
        <v>0</v>
      </c>
      <c r="BI100" s="18" cm="1">
        <f t="array" ref="BI100:BI183">AllMix[[#Data],[Apple Flavouring]]*VLOOKUP(BI$99,'C- Raw Products Costs'!$A$3:$H$80,8,FALSE)</f>
        <v>0</v>
      </c>
      <c r="BJ100" s="18" cm="1">
        <f t="array" ref="BJ100:BJ183">AllMix[[#Data],[Lupins]]*VLOOKUP(BJ$99,'C- Raw Products Costs'!$A$3:$H$80,8,FALSE)</f>
        <v>0</v>
      </c>
      <c r="BK100" s="18" cm="1">
        <f t="array" ref="BK100:BK183">AllMix[[#Data],[Mould Inhibitor]]*VLOOKUP(BK$99,'C- Raw Products Costs'!$A$3:$H$80,8,FALSE)</f>
        <v>0</v>
      </c>
      <c r="BL100" s="18" cm="1">
        <f t="array" ref="BL100:BL183">AllMix[[#Data],[Canary Mix]]*VLOOKUP(BL$99,'C- Raw Products Costs'!$A$3:$H$80,8,FALSE)</f>
        <v>0</v>
      </c>
      <c r="BM100" s="14"/>
    </row>
    <row r="101" spans="1:71" x14ac:dyDescent="0.25">
      <c r="A101" s="17" t="str">
        <v>Specialty</v>
      </c>
      <c r="B101" s="17" t="str">
        <v>Blue Sky Budgie Mix</v>
      </c>
      <c r="C101" s="242">
        <f t="shared" ref="C101:C131" si="1">SUM(E101:BX101)</f>
        <v>498.96806547619042</v>
      </c>
      <c r="D101" s="243">
        <f t="shared" si="0"/>
        <v>1.0395168030753967</v>
      </c>
      <c r="E101" s="20">
        <v>0</v>
      </c>
      <c r="F101" s="20">
        <v>0</v>
      </c>
      <c r="G101" s="20">
        <v>0</v>
      </c>
      <c r="H101" s="20">
        <v>0</v>
      </c>
      <c r="I101" s="20">
        <v>72.36</v>
      </c>
      <c r="J101" s="20">
        <v>0</v>
      </c>
      <c r="K101" s="20">
        <v>0</v>
      </c>
      <c r="L101" s="18">
        <v>0</v>
      </c>
      <c r="M101" s="18">
        <v>0</v>
      </c>
      <c r="N101" s="20">
        <v>56.699999999999996</v>
      </c>
      <c r="O101" s="20">
        <v>0</v>
      </c>
      <c r="P101" s="20">
        <v>41.475000000000001</v>
      </c>
      <c r="Q101" s="20">
        <v>0</v>
      </c>
      <c r="R101" s="20">
        <v>0</v>
      </c>
      <c r="S101" s="20">
        <v>28.664999999999999</v>
      </c>
      <c r="T101" s="20">
        <v>0</v>
      </c>
      <c r="U101" s="20">
        <v>0</v>
      </c>
      <c r="V101" s="20">
        <v>210</v>
      </c>
      <c r="W101" s="20">
        <v>0</v>
      </c>
      <c r="X101" s="20">
        <v>0</v>
      </c>
      <c r="Y101" s="20">
        <v>0</v>
      </c>
      <c r="Z101" s="20">
        <v>39.571874999999999</v>
      </c>
      <c r="AA101" s="20">
        <v>0</v>
      </c>
      <c r="AB101" s="20">
        <v>0</v>
      </c>
      <c r="AC101" s="20">
        <v>0</v>
      </c>
      <c r="AD101" s="20">
        <v>0</v>
      </c>
      <c r="AE101" s="20">
        <v>0</v>
      </c>
      <c r="AF101" s="20">
        <v>0</v>
      </c>
      <c r="AG101" s="20">
        <v>0</v>
      </c>
      <c r="AH101" s="20">
        <v>0</v>
      </c>
      <c r="AI101" s="20">
        <v>0</v>
      </c>
      <c r="AJ101" s="20">
        <v>0</v>
      </c>
      <c r="AK101" s="20">
        <v>0</v>
      </c>
      <c r="AL101" s="20">
        <v>0</v>
      </c>
      <c r="AM101" s="20">
        <v>0</v>
      </c>
      <c r="AN101" s="20">
        <v>0</v>
      </c>
      <c r="AO101" s="20">
        <v>0</v>
      </c>
      <c r="AP101" s="20">
        <v>0</v>
      </c>
      <c r="AQ101" s="20">
        <v>0</v>
      </c>
      <c r="AR101" s="20">
        <v>0</v>
      </c>
      <c r="AS101" s="20">
        <v>0</v>
      </c>
      <c r="AT101" s="20">
        <v>0</v>
      </c>
      <c r="AU101" s="20">
        <v>0</v>
      </c>
      <c r="AV101" s="20">
        <v>0</v>
      </c>
      <c r="AW101" s="20">
        <v>0</v>
      </c>
      <c r="AX101" s="20">
        <v>0</v>
      </c>
      <c r="AY101" s="20">
        <v>0</v>
      </c>
      <c r="AZ101" s="20">
        <v>0</v>
      </c>
      <c r="BA101" s="20">
        <v>0</v>
      </c>
      <c r="BB101" s="20">
        <v>0</v>
      </c>
      <c r="BC101" s="20">
        <v>0</v>
      </c>
      <c r="BD101" s="20">
        <v>0</v>
      </c>
      <c r="BE101" s="20">
        <v>0</v>
      </c>
      <c r="BF101" s="20">
        <v>0</v>
      </c>
      <c r="BG101" s="20">
        <v>0</v>
      </c>
      <c r="BH101" s="20">
        <v>0</v>
      </c>
      <c r="BI101" s="20">
        <v>0</v>
      </c>
      <c r="BJ101" s="20">
        <v>0</v>
      </c>
      <c r="BK101" s="20">
        <v>0</v>
      </c>
      <c r="BL101" s="20">
        <v>50.19619047619048</v>
      </c>
      <c r="BM101" s="14"/>
    </row>
    <row r="102" spans="1:71" x14ac:dyDescent="0.25">
      <c r="A102" s="17" t="str">
        <v>Specialty</v>
      </c>
      <c r="B102" s="17" t="str">
        <v>Blue Sky Parrot Mix</v>
      </c>
      <c r="C102" s="242">
        <f t="shared" si="1"/>
        <v>875.22749999999985</v>
      </c>
      <c r="D102" s="243">
        <f t="shared" si="0"/>
        <v>0.69462499999999983</v>
      </c>
      <c r="E102" s="20">
        <v>405.40499999999997</v>
      </c>
      <c r="F102" s="20">
        <v>0</v>
      </c>
      <c r="G102" s="20">
        <v>0</v>
      </c>
      <c r="H102" s="20">
        <v>38.587500000000006</v>
      </c>
      <c r="I102" s="20">
        <v>0</v>
      </c>
      <c r="J102" s="20">
        <v>0</v>
      </c>
      <c r="K102" s="20">
        <v>22.994999999999997</v>
      </c>
      <c r="L102" s="18">
        <v>0</v>
      </c>
      <c r="M102" s="18">
        <v>0</v>
      </c>
      <c r="N102" s="20">
        <v>0</v>
      </c>
      <c r="O102" s="20">
        <v>0</v>
      </c>
      <c r="P102" s="20">
        <v>0</v>
      </c>
      <c r="Q102" s="20">
        <v>0</v>
      </c>
      <c r="R102" s="20">
        <v>69.929999999999993</v>
      </c>
      <c r="S102" s="20">
        <v>114.66</v>
      </c>
      <c r="T102" s="20">
        <v>0</v>
      </c>
      <c r="U102" s="20">
        <v>223.65</v>
      </c>
      <c r="V102" s="20">
        <v>0</v>
      </c>
      <c r="W102" s="20">
        <v>0</v>
      </c>
      <c r="X102" s="20">
        <v>0</v>
      </c>
      <c r="Y102" s="20">
        <v>0</v>
      </c>
      <c r="Z102" s="20">
        <v>0</v>
      </c>
      <c r="AA102" s="20">
        <v>0</v>
      </c>
      <c r="AB102" s="20">
        <v>0</v>
      </c>
      <c r="AC102" s="20">
        <v>0</v>
      </c>
      <c r="AD102" s="20">
        <v>0</v>
      </c>
      <c r="AE102" s="20">
        <v>0</v>
      </c>
      <c r="AF102" s="20">
        <v>0</v>
      </c>
      <c r="AG102" s="20">
        <v>0</v>
      </c>
      <c r="AH102" s="20">
        <v>0</v>
      </c>
      <c r="AI102" s="20">
        <v>0</v>
      </c>
      <c r="AJ102" s="20">
        <v>0</v>
      </c>
      <c r="AK102" s="20">
        <v>0</v>
      </c>
      <c r="AL102" s="20">
        <v>0</v>
      </c>
      <c r="AM102" s="20">
        <v>0</v>
      </c>
      <c r="AN102" s="20">
        <v>0</v>
      </c>
      <c r="AO102" s="20">
        <v>0</v>
      </c>
      <c r="AP102" s="20">
        <v>0</v>
      </c>
      <c r="AQ102" s="20">
        <v>0</v>
      </c>
      <c r="AR102" s="20">
        <v>0</v>
      </c>
      <c r="AS102" s="20">
        <v>0</v>
      </c>
      <c r="AT102" s="20">
        <v>0</v>
      </c>
      <c r="AU102" s="20">
        <v>0</v>
      </c>
      <c r="AV102" s="20">
        <v>0</v>
      </c>
      <c r="AW102" s="20">
        <v>0</v>
      </c>
      <c r="AX102" s="20">
        <v>0</v>
      </c>
      <c r="AY102" s="20">
        <v>0</v>
      </c>
      <c r="AZ102" s="20">
        <v>0</v>
      </c>
      <c r="BA102" s="20">
        <v>0</v>
      </c>
      <c r="BB102" s="20">
        <v>0</v>
      </c>
      <c r="BC102" s="20">
        <v>0</v>
      </c>
      <c r="BD102" s="20">
        <v>0</v>
      </c>
      <c r="BE102" s="20">
        <v>0</v>
      </c>
      <c r="BF102" s="20">
        <v>0</v>
      </c>
      <c r="BG102" s="20">
        <v>0</v>
      </c>
      <c r="BH102" s="20">
        <v>0</v>
      </c>
      <c r="BI102" s="20">
        <v>0</v>
      </c>
      <c r="BJ102" s="20">
        <v>0</v>
      </c>
      <c r="BK102" s="20">
        <v>0</v>
      </c>
      <c r="BL102" s="20">
        <v>0</v>
      </c>
      <c r="BM102" s="14"/>
    </row>
    <row r="103" spans="1:71" x14ac:dyDescent="0.25">
      <c r="A103" s="17" t="str">
        <v>Specialty</v>
      </c>
      <c r="B103" s="17" t="str">
        <v>Budgie Mix</v>
      </c>
      <c r="C103" s="242">
        <f t="shared" si="1"/>
        <v>1319.4</v>
      </c>
      <c r="D103" s="243">
        <f t="shared" si="0"/>
        <v>1.014923076923077</v>
      </c>
      <c r="E103" s="20">
        <v>0</v>
      </c>
      <c r="F103" s="20">
        <v>0</v>
      </c>
      <c r="G103" s="20">
        <v>0</v>
      </c>
      <c r="H103" s="20">
        <v>0</v>
      </c>
      <c r="I103" s="20">
        <v>361.8</v>
      </c>
      <c r="J103" s="20">
        <v>0</v>
      </c>
      <c r="K103" s="20">
        <v>0</v>
      </c>
      <c r="L103" s="18">
        <v>0</v>
      </c>
      <c r="M103" s="18">
        <v>0</v>
      </c>
      <c r="N103" s="20">
        <v>170.1</v>
      </c>
      <c r="O103" s="20">
        <v>0</v>
      </c>
      <c r="P103" s="20">
        <v>0</v>
      </c>
      <c r="Q103" s="20">
        <v>0</v>
      </c>
      <c r="R103" s="20">
        <v>0</v>
      </c>
      <c r="S103" s="20">
        <v>0</v>
      </c>
      <c r="T103" s="20">
        <v>0</v>
      </c>
      <c r="U103" s="20">
        <v>0</v>
      </c>
      <c r="V103" s="20">
        <v>787.5</v>
      </c>
      <c r="W103" s="20">
        <v>0</v>
      </c>
      <c r="X103" s="20">
        <v>0</v>
      </c>
      <c r="Y103" s="20">
        <v>0</v>
      </c>
      <c r="Z103" s="20">
        <v>0</v>
      </c>
      <c r="AA103" s="20">
        <v>0</v>
      </c>
      <c r="AB103" s="20">
        <v>0</v>
      </c>
      <c r="AC103" s="20">
        <v>0</v>
      </c>
      <c r="AD103" s="20">
        <v>0</v>
      </c>
      <c r="AE103" s="20">
        <v>0</v>
      </c>
      <c r="AF103" s="20">
        <v>0</v>
      </c>
      <c r="AG103" s="20">
        <v>0</v>
      </c>
      <c r="AH103" s="20">
        <v>0</v>
      </c>
      <c r="AI103" s="20">
        <v>0</v>
      </c>
      <c r="AJ103" s="20">
        <v>0</v>
      </c>
      <c r="AK103" s="20">
        <v>0</v>
      </c>
      <c r="AL103" s="20">
        <v>0</v>
      </c>
      <c r="AM103" s="20">
        <v>0</v>
      </c>
      <c r="AN103" s="20">
        <v>0</v>
      </c>
      <c r="AO103" s="20">
        <v>0</v>
      </c>
      <c r="AP103" s="20">
        <v>0</v>
      </c>
      <c r="AQ103" s="20">
        <v>0</v>
      </c>
      <c r="AR103" s="20">
        <v>0</v>
      </c>
      <c r="AS103" s="20">
        <v>0</v>
      </c>
      <c r="AT103" s="20">
        <v>0</v>
      </c>
      <c r="AU103" s="20">
        <v>0</v>
      </c>
      <c r="AV103" s="20">
        <v>0</v>
      </c>
      <c r="AW103" s="20">
        <v>0</v>
      </c>
      <c r="AX103" s="20">
        <v>0</v>
      </c>
      <c r="AY103" s="20">
        <v>0</v>
      </c>
      <c r="AZ103" s="20">
        <v>0</v>
      </c>
      <c r="BA103" s="20">
        <v>0</v>
      </c>
      <c r="BB103" s="20">
        <v>0</v>
      </c>
      <c r="BC103" s="20">
        <v>0</v>
      </c>
      <c r="BD103" s="20">
        <v>0</v>
      </c>
      <c r="BE103" s="20">
        <v>0</v>
      </c>
      <c r="BF103" s="20">
        <v>0</v>
      </c>
      <c r="BG103" s="20">
        <v>0</v>
      </c>
      <c r="BH103" s="20">
        <v>0</v>
      </c>
      <c r="BI103" s="20">
        <v>0</v>
      </c>
      <c r="BJ103" s="20">
        <v>0</v>
      </c>
      <c r="BK103" s="20">
        <v>0</v>
      </c>
      <c r="BL103" s="20">
        <v>0</v>
      </c>
      <c r="BM103" s="14"/>
      <c r="BS103" s="67"/>
    </row>
    <row r="104" spans="1:71" x14ac:dyDescent="0.25">
      <c r="A104" s="17" t="str">
        <v>Specialty</v>
      </c>
      <c r="B104" s="17" t="str">
        <v>Canary Mix</v>
      </c>
      <c r="C104" s="242">
        <f t="shared" si="1"/>
        <v>1844.71</v>
      </c>
      <c r="D104" s="243">
        <f t="shared" si="0"/>
        <v>1.254904761904762</v>
      </c>
      <c r="E104" s="20">
        <v>0</v>
      </c>
      <c r="F104" s="20">
        <v>0</v>
      </c>
      <c r="G104" s="20">
        <v>79.56</v>
      </c>
      <c r="H104" s="20">
        <v>0</v>
      </c>
      <c r="I104" s="20">
        <v>542.69999999999993</v>
      </c>
      <c r="J104" s="20">
        <v>204.99999999999997</v>
      </c>
      <c r="K104" s="20">
        <v>0</v>
      </c>
      <c r="L104" s="18">
        <v>0</v>
      </c>
      <c r="M104" s="18">
        <v>0</v>
      </c>
      <c r="N104" s="20">
        <v>0</v>
      </c>
      <c r="O104" s="20">
        <v>0</v>
      </c>
      <c r="P104" s="20">
        <v>912.45</v>
      </c>
      <c r="Q104" s="20">
        <v>0</v>
      </c>
      <c r="R104" s="20">
        <v>0</v>
      </c>
      <c r="S104" s="20">
        <v>0</v>
      </c>
      <c r="T104" s="20">
        <v>0</v>
      </c>
      <c r="U104" s="20">
        <v>0</v>
      </c>
      <c r="V104" s="20">
        <v>105</v>
      </c>
      <c r="W104" s="20">
        <v>0</v>
      </c>
      <c r="X104" s="20">
        <v>0</v>
      </c>
      <c r="Y104" s="20">
        <v>0</v>
      </c>
      <c r="Z104" s="20">
        <v>0</v>
      </c>
      <c r="AA104" s="20">
        <v>0</v>
      </c>
      <c r="AB104" s="20">
        <v>0</v>
      </c>
      <c r="AC104" s="20">
        <v>0</v>
      </c>
      <c r="AD104" s="20">
        <v>0</v>
      </c>
      <c r="AE104" s="20">
        <v>0</v>
      </c>
      <c r="AF104" s="20">
        <v>0</v>
      </c>
      <c r="AG104" s="20">
        <v>0</v>
      </c>
      <c r="AH104" s="20">
        <v>0</v>
      </c>
      <c r="AI104" s="20">
        <v>0</v>
      </c>
      <c r="AJ104" s="20">
        <v>0</v>
      </c>
      <c r="AK104" s="20">
        <v>0</v>
      </c>
      <c r="AL104" s="20">
        <v>0</v>
      </c>
      <c r="AM104" s="20">
        <v>0</v>
      </c>
      <c r="AN104" s="20">
        <v>0</v>
      </c>
      <c r="AO104" s="20">
        <v>0</v>
      </c>
      <c r="AP104" s="20">
        <v>0</v>
      </c>
      <c r="AQ104" s="20">
        <v>0</v>
      </c>
      <c r="AR104" s="20">
        <v>0</v>
      </c>
      <c r="AS104" s="20">
        <v>0</v>
      </c>
      <c r="AT104" s="20">
        <v>0</v>
      </c>
      <c r="AU104" s="20">
        <v>0</v>
      </c>
      <c r="AV104" s="20">
        <v>0</v>
      </c>
      <c r="AW104" s="20">
        <v>0</v>
      </c>
      <c r="AX104" s="20">
        <v>0</v>
      </c>
      <c r="AY104" s="20">
        <v>0</v>
      </c>
      <c r="AZ104" s="20">
        <v>0</v>
      </c>
      <c r="BA104" s="20">
        <v>0</v>
      </c>
      <c r="BB104" s="20">
        <v>0</v>
      </c>
      <c r="BC104" s="20">
        <v>0</v>
      </c>
      <c r="BD104" s="20">
        <v>0</v>
      </c>
      <c r="BE104" s="20">
        <v>0</v>
      </c>
      <c r="BF104" s="20">
        <v>0</v>
      </c>
      <c r="BG104" s="20">
        <v>0</v>
      </c>
      <c r="BH104" s="20">
        <v>0</v>
      </c>
      <c r="BI104" s="20">
        <v>0</v>
      </c>
      <c r="BJ104" s="20">
        <v>0</v>
      </c>
      <c r="BK104" s="20">
        <v>0</v>
      </c>
      <c r="BL104" s="20">
        <v>0</v>
      </c>
      <c r="BM104" s="14"/>
    </row>
    <row r="105" spans="1:71" x14ac:dyDescent="0.25">
      <c r="A105" s="17" t="str">
        <v>Specialty</v>
      </c>
      <c r="B105" s="17" t="str">
        <v>Finch Mix</v>
      </c>
      <c r="C105" s="242">
        <f t="shared" si="1"/>
        <v>1393.6</v>
      </c>
      <c r="D105" s="243">
        <f t="shared" si="0"/>
        <v>1.2669090909090908</v>
      </c>
      <c r="E105" s="20">
        <v>0</v>
      </c>
      <c r="F105" s="20">
        <v>0</v>
      </c>
      <c r="G105" s="20">
        <v>0</v>
      </c>
      <c r="H105" s="20">
        <v>0</v>
      </c>
      <c r="I105" s="20">
        <v>0</v>
      </c>
      <c r="J105" s="20">
        <v>204.99999999999997</v>
      </c>
      <c r="K105" s="20">
        <v>0</v>
      </c>
      <c r="L105" s="18">
        <v>0</v>
      </c>
      <c r="M105" s="18">
        <v>0</v>
      </c>
      <c r="N105" s="20">
        <v>226.79999999999998</v>
      </c>
      <c r="O105" s="20">
        <v>0</v>
      </c>
      <c r="P105" s="20">
        <v>331.8</v>
      </c>
      <c r="Q105" s="20">
        <v>0</v>
      </c>
      <c r="R105" s="20">
        <v>0</v>
      </c>
      <c r="S105" s="20">
        <v>0</v>
      </c>
      <c r="T105" s="20">
        <v>0</v>
      </c>
      <c r="U105" s="20">
        <v>0</v>
      </c>
      <c r="V105" s="20">
        <v>630</v>
      </c>
      <c r="W105" s="20">
        <v>0</v>
      </c>
      <c r="X105" s="20">
        <v>0</v>
      </c>
      <c r="Y105" s="20">
        <v>0</v>
      </c>
      <c r="Z105" s="20">
        <v>0</v>
      </c>
      <c r="AA105" s="20">
        <v>0</v>
      </c>
      <c r="AB105" s="20">
        <v>0</v>
      </c>
      <c r="AC105" s="20">
        <v>0</v>
      </c>
      <c r="AD105" s="20">
        <v>0</v>
      </c>
      <c r="AE105" s="20">
        <v>0</v>
      </c>
      <c r="AF105" s="20">
        <v>0</v>
      </c>
      <c r="AG105" s="20">
        <v>0</v>
      </c>
      <c r="AH105" s="20">
        <v>0</v>
      </c>
      <c r="AI105" s="20">
        <v>0</v>
      </c>
      <c r="AJ105" s="20">
        <v>0</v>
      </c>
      <c r="AK105" s="20">
        <v>0</v>
      </c>
      <c r="AL105" s="20">
        <v>0</v>
      </c>
      <c r="AM105" s="20">
        <v>0</v>
      </c>
      <c r="AN105" s="20">
        <v>0</v>
      </c>
      <c r="AO105" s="20">
        <v>0</v>
      </c>
      <c r="AP105" s="20">
        <v>0</v>
      </c>
      <c r="AQ105" s="20">
        <v>0</v>
      </c>
      <c r="AR105" s="20">
        <v>0</v>
      </c>
      <c r="AS105" s="20">
        <v>0</v>
      </c>
      <c r="AT105" s="20">
        <v>0</v>
      </c>
      <c r="AU105" s="20">
        <v>0</v>
      </c>
      <c r="AV105" s="20">
        <v>0</v>
      </c>
      <c r="AW105" s="20">
        <v>0</v>
      </c>
      <c r="AX105" s="20">
        <v>0</v>
      </c>
      <c r="AY105" s="20">
        <v>0</v>
      </c>
      <c r="AZ105" s="20">
        <v>0</v>
      </c>
      <c r="BA105" s="20">
        <v>0</v>
      </c>
      <c r="BB105" s="20">
        <v>0</v>
      </c>
      <c r="BC105" s="20">
        <v>0</v>
      </c>
      <c r="BD105" s="20">
        <v>0</v>
      </c>
      <c r="BE105" s="20">
        <v>0</v>
      </c>
      <c r="BF105" s="20">
        <v>0</v>
      </c>
      <c r="BG105" s="20">
        <v>0</v>
      </c>
      <c r="BH105" s="20">
        <v>0</v>
      </c>
      <c r="BI105" s="20">
        <v>0</v>
      </c>
      <c r="BJ105" s="20">
        <v>0</v>
      </c>
      <c r="BK105" s="20">
        <v>0</v>
      </c>
      <c r="BL105" s="20">
        <v>0</v>
      </c>
      <c r="BM105" s="14"/>
    </row>
    <row r="106" spans="1:71" x14ac:dyDescent="0.25">
      <c r="A106" s="17" t="str">
        <v>Specialty</v>
      </c>
      <c r="B106" s="17" t="str">
        <v>Gibbs Pigeon Mix</v>
      </c>
      <c r="C106" s="242">
        <f t="shared" si="1"/>
        <v>579.13049999999998</v>
      </c>
      <c r="D106" s="243">
        <f t="shared" si="0"/>
        <v>0.57913049999999999</v>
      </c>
      <c r="E106" s="20">
        <v>0</v>
      </c>
      <c r="F106" s="20">
        <v>0</v>
      </c>
      <c r="G106" s="20">
        <v>0</v>
      </c>
      <c r="H106" s="20">
        <v>0</v>
      </c>
      <c r="I106" s="20">
        <v>0</v>
      </c>
      <c r="J106" s="20">
        <v>0</v>
      </c>
      <c r="K106" s="20">
        <v>0</v>
      </c>
      <c r="L106" s="18">
        <v>0</v>
      </c>
      <c r="M106" s="18">
        <v>0</v>
      </c>
      <c r="N106" s="20">
        <v>0</v>
      </c>
      <c r="O106" s="20">
        <v>153.6645</v>
      </c>
      <c r="P106" s="20">
        <v>0</v>
      </c>
      <c r="Q106" s="20">
        <v>88.2</v>
      </c>
      <c r="R106" s="20">
        <v>69.929999999999993</v>
      </c>
      <c r="S106" s="20">
        <v>105.105</v>
      </c>
      <c r="T106" s="20">
        <v>35.496000000000002</v>
      </c>
      <c r="U106" s="20">
        <v>126.73500000000001</v>
      </c>
      <c r="V106" s="20">
        <v>0</v>
      </c>
      <c r="W106" s="20">
        <v>0</v>
      </c>
      <c r="X106" s="20">
        <v>0</v>
      </c>
      <c r="Y106" s="20">
        <v>0</v>
      </c>
      <c r="Z106" s="20">
        <v>0</v>
      </c>
      <c r="AA106" s="20">
        <v>0</v>
      </c>
      <c r="AB106" s="20">
        <v>0</v>
      </c>
      <c r="AC106" s="20">
        <v>0</v>
      </c>
      <c r="AD106" s="20">
        <v>0</v>
      </c>
      <c r="AE106" s="20">
        <v>0</v>
      </c>
      <c r="AF106" s="20">
        <v>0</v>
      </c>
      <c r="AG106" s="20">
        <v>0</v>
      </c>
      <c r="AH106" s="20">
        <v>0</v>
      </c>
      <c r="AI106" s="20">
        <v>0</v>
      </c>
      <c r="AJ106" s="20">
        <v>0</v>
      </c>
      <c r="AK106" s="20">
        <v>0</v>
      </c>
      <c r="AL106" s="20">
        <v>0</v>
      </c>
      <c r="AM106" s="20">
        <v>0</v>
      </c>
      <c r="AN106" s="20">
        <v>0</v>
      </c>
      <c r="AO106" s="20">
        <v>0</v>
      </c>
      <c r="AP106" s="20">
        <v>0</v>
      </c>
      <c r="AQ106" s="20">
        <v>0</v>
      </c>
      <c r="AR106" s="20">
        <v>0</v>
      </c>
      <c r="AS106" s="20">
        <v>0</v>
      </c>
      <c r="AT106" s="20">
        <v>0</v>
      </c>
      <c r="AU106" s="20">
        <v>0</v>
      </c>
      <c r="AV106" s="20">
        <v>0</v>
      </c>
      <c r="AW106" s="20">
        <v>0</v>
      </c>
      <c r="AX106" s="20">
        <v>0</v>
      </c>
      <c r="AY106" s="20">
        <v>0</v>
      </c>
      <c r="AZ106" s="20">
        <v>0</v>
      </c>
      <c r="BA106" s="20">
        <v>0</v>
      </c>
      <c r="BB106" s="20">
        <v>0</v>
      </c>
      <c r="BC106" s="20">
        <v>0</v>
      </c>
      <c r="BD106" s="20">
        <v>0</v>
      </c>
      <c r="BE106" s="20">
        <v>0</v>
      </c>
      <c r="BF106" s="20">
        <v>0</v>
      </c>
      <c r="BG106" s="20">
        <v>0</v>
      </c>
      <c r="BH106" s="20">
        <v>0</v>
      </c>
      <c r="BI106" s="20">
        <v>0</v>
      </c>
      <c r="BJ106" s="20">
        <v>0</v>
      </c>
      <c r="BK106" s="20">
        <v>0</v>
      </c>
      <c r="BL106" s="20">
        <v>0</v>
      </c>
      <c r="BM106" s="14"/>
    </row>
    <row r="107" spans="1:71" x14ac:dyDescent="0.25">
      <c r="A107" s="17" t="str">
        <v>Specialty</v>
      </c>
      <c r="B107" s="17" t="str">
        <v>Luv Bird Mix</v>
      </c>
      <c r="C107" s="242">
        <f t="shared" si="1"/>
        <v>1371.39</v>
      </c>
      <c r="D107" s="243">
        <f t="shared" si="0"/>
        <v>1.2410769230769232</v>
      </c>
      <c r="E107" s="20">
        <v>0</v>
      </c>
      <c r="F107" s="20">
        <v>0</v>
      </c>
      <c r="G107" s="20">
        <v>0</v>
      </c>
      <c r="H107" s="20">
        <v>308.70000000000005</v>
      </c>
      <c r="I107" s="20">
        <v>180.9</v>
      </c>
      <c r="J107" s="20">
        <v>0</v>
      </c>
      <c r="K107" s="20">
        <v>0</v>
      </c>
      <c r="L107" s="18">
        <v>0</v>
      </c>
      <c r="M107" s="18">
        <v>0</v>
      </c>
      <c r="N107" s="20">
        <v>141.75</v>
      </c>
      <c r="O107" s="20">
        <v>0</v>
      </c>
      <c r="P107" s="20">
        <v>331.8</v>
      </c>
      <c r="Q107" s="20">
        <v>0</v>
      </c>
      <c r="R107" s="20">
        <v>93.24</v>
      </c>
      <c r="S107" s="20">
        <v>0</v>
      </c>
      <c r="T107" s="20">
        <v>0</v>
      </c>
      <c r="U107" s="20">
        <v>0</v>
      </c>
      <c r="V107" s="20">
        <v>315</v>
      </c>
      <c r="W107" s="20">
        <v>0</v>
      </c>
      <c r="X107" s="20">
        <v>0</v>
      </c>
      <c r="Y107" s="20">
        <v>0</v>
      </c>
      <c r="Z107" s="20">
        <v>0</v>
      </c>
      <c r="AA107" s="20">
        <v>0</v>
      </c>
      <c r="AB107" s="20">
        <v>0</v>
      </c>
      <c r="AC107" s="20">
        <v>0</v>
      </c>
      <c r="AD107" s="20">
        <v>0</v>
      </c>
      <c r="AE107" s="20">
        <v>0</v>
      </c>
      <c r="AF107" s="20">
        <v>0</v>
      </c>
      <c r="AG107" s="20">
        <v>0</v>
      </c>
      <c r="AH107" s="20">
        <v>0</v>
      </c>
      <c r="AI107" s="20">
        <v>0</v>
      </c>
      <c r="AJ107" s="20">
        <v>0</v>
      </c>
      <c r="AK107" s="20">
        <v>0</v>
      </c>
      <c r="AL107" s="20">
        <v>0</v>
      </c>
      <c r="AM107" s="20">
        <v>0</v>
      </c>
      <c r="AN107" s="20">
        <v>0</v>
      </c>
      <c r="AO107" s="20">
        <v>0</v>
      </c>
      <c r="AP107" s="20">
        <v>0</v>
      </c>
      <c r="AQ107" s="20">
        <v>0</v>
      </c>
      <c r="AR107" s="20">
        <v>0</v>
      </c>
      <c r="AS107" s="20">
        <v>0</v>
      </c>
      <c r="AT107" s="20">
        <v>0</v>
      </c>
      <c r="AU107" s="20">
        <v>0</v>
      </c>
      <c r="AV107" s="20">
        <v>0</v>
      </c>
      <c r="AW107" s="20">
        <v>0</v>
      </c>
      <c r="AX107" s="20">
        <v>0</v>
      </c>
      <c r="AY107" s="20">
        <v>0</v>
      </c>
      <c r="AZ107" s="20">
        <v>0</v>
      </c>
      <c r="BA107" s="20">
        <v>0</v>
      </c>
      <c r="BB107" s="20">
        <v>0</v>
      </c>
      <c r="BC107" s="20">
        <v>0</v>
      </c>
      <c r="BD107" s="20">
        <v>0</v>
      </c>
      <c r="BE107" s="20">
        <v>0</v>
      </c>
      <c r="BF107" s="20">
        <v>0</v>
      </c>
      <c r="BG107" s="20">
        <v>0</v>
      </c>
      <c r="BH107" s="20">
        <v>0</v>
      </c>
      <c r="BI107" s="20">
        <v>0</v>
      </c>
      <c r="BJ107" s="20">
        <v>0</v>
      </c>
      <c r="BK107" s="20">
        <v>0</v>
      </c>
      <c r="BL107" s="20">
        <v>0</v>
      </c>
      <c r="BM107" s="14"/>
    </row>
    <row r="108" spans="1:71" x14ac:dyDescent="0.25">
      <c r="A108" s="17" t="str">
        <v>Specialty</v>
      </c>
      <c r="B108" s="17" t="str">
        <v>Parrot Mix</v>
      </c>
      <c r="C108" s="242">
        <f t="shared" si="1"/>
        <v>898.16999999999985</v>
      </c>
      <c r="D108" s="243">
        <f t="shared" si="0"/>
        <v>0.66285608856088551</v>
      </c>
      <c r="E108" s="20">
        <v>405.40499999999997</v>
      </c>
      <c r="F108" s="20">
        <v>0</v>
      </c>
      <c r="G108" s="20">
        <v>0</v>
      </c>
      <c r="H108" s="20">
        <v>0</v>
      </c>
      <c r="I108" s="20">
        <v>0</v>
      </c>
      <c r="J108" s="20">
        <v>0</v>
      </c>
      <c r="K108" s="20">
        <v>22.994999999999997</v>
      </c>
      <c r="L108" s="18">
        <v>80.64</v>
      </c>
      <c r="M108" s="18">
        <v>0</v>
      </c>
      <c r="N108" s="20">
        <v>0</v>
      </c>
      <c r="O108" s="20">
        <v>0</v>
      </c>
      <c r="P108" s="20">
        <v>0</v>
      </c>
      <c r="Q108" s="20">
        <v>0</v>
      </c>
      <c r="R108" s="20">
        <v>69.929999999999993</v>
      </c>
      <c r="S108" s="20">
        <v>95.55</v>
      </c>
      <c r="T108" s="20">
        <v>0</v>
      </c>
      <c r="U108" s="20">
        <v>223.65</v>
      </c>
      <c r="V108" s="20">
        <v>0</v>
      </c>
      <c r="W108" s="20">
        <v>0</v>
      </c>
      <c r="X108" s="20">
        <v>0</v>
      </c>
      <c r="Y108" s="20">
        <v>0</v>
      </c>
      <c r="Z108" s="20">
        <v>0</v>
      </c>
      <c r="AA108" s="20">
        <v>0</v>
      </c>
      <c r="AB108" s="20">
        <v>0</v>
      </c>
      <c r="AC108" s="20">
        <v>0</v>
      </c>
      <c r="AD108" s="20">
        <v>0</v>
      </c>
      <c r="AE108" s="20">
        <v>0</v>
      </c>
      <c r="AF108" s="20">
        <v>0</v>
      </c>
      <c r="AG108" s="20">
        <v>0</v>
      </c>
      <c r="AH108" s="20">
        <v>0</v>
      </c>
      <c r="AI108" s="20">
        <v>0</v>
      </c>
      <c r="AJ108" s="20">
        <v>0</v>
      </c>
      <c r="AK108" s="20">
        <v>0</v>
      </c>
      <c r="AL108" s="20">
        <v>0</v>
      </c>
      <c r="AM108" s="20">
        <v>0</v>
      </c>
      <c r="AN108" s="20">
        <v>0</v>
      </c>
      <c r="AO108" s="20">
        <v>0</v>
      </c>
      <c r="AP108" s="20">
        <v>0</v>
      </c>
      <c r="AQ108" s="20">
        <v>0</v>
      </c>
      <c r="AR108" s="20">
        <v>0</v>
      </c>
      <c r="AS108" s="20">
        <v>0</v>
      </c>
      <c r="AT108" s="20">
        <v>0</v>
      </c>
      <c r="AU108" s="20">
        <v>0</v>
      </c>
      <c r="AV108" s="20">
        <v>0</v>
      </c>
      <c r="AW108" s="20">
        <v>0</v>
      </c>
      <c r="AX108" s="20">
        <v>0</v>
      </c>
      <c r="AY108" s="20">
        <v>0</v>
      </c>
      <c r="AZ108" s="20">
        <v>0</v>
      </c>
      <c r="BA108" s="20">
        <v>0</v>
      </c>
      <c r="BB108" s="20">
        <v>0</v>
      </c>
      <c r="BC108" s="20">
        <v>0</v>
      </c>
      <c r="BD108" s="20">
        <v>0</v>
      </c>
      <c r="BE108" s="20">
        <v>0</v>
      </c>
      <c r="BF108" s="20">
        <v>0</v>
      </c>
      <c r="BG108" s="20">
        <v>0</v>
      </c>
      <c r="BH108" s="20">
        <v>0</v>
      </c>
      <c r="BI108" s="20">
        <v>0</v>
      </c>
      <c r="BJ108" s="20">
        <v>0</v>
      </c>
      <c r="BK108" s="20">
        <v>0</v>
      </c>
      <c r="BL108" s="20">
        <v>0</v>
      </c>
      <c r="BM108" s="14"/>
    </row>
    <row r="109" spans="1:71" x14ac:dyDescent="0.25">
      <c r="A109" s="17" t="str">
        <v>Specialty</v>
      </c>
      <c r="B109" s="17" t="str">
        <v>Pigeon Mix</v>
      </c>
      <c r="C109" s="242">
        <f t="shared" si="1"/>
        <v>871.08749999999998</v>
      </c>
      <c r="D109" s="243">
        <f t="shared" si="0"/>
        <v>0.54442968749999998</v>
      </c>
      <c r="E109" s="20">
        <v>0</v>
      </c>
      <c r="F109" s="20">
        <v>0</v>
      </c>
      <c r="G109" s="20">
        <v>0</v>
      </c>
      <c r="H109" s="20">
        <v>0</v>
      </c>
      <c r="I109" s="20">
        <v>0</v>
      </c>
      <c r="J109" s="20">
        <v>0</v>
      </c>
      <c r="K109" s="20">
        <v>38.324999999999996</v>
      </c>
      <c r="L109" s="18">
        <v>0</v>
      </c>
      <c r="M109" s="18">
        <v>0</v>
      </c>
      <c r="N109" s="20">
        <v>0</v>
      </c>
      <c r="O109" s="20">
        <v>349.23750000000001</v>
      </c>
      <c r="P109" s="20">
        <v>0</v>
      </c>
      <c r="Q109" s="20">
        <v>0</v>
      </c>
      <c r="R109" s="20">
        <v>116.55</v>
      </c>
      <c r="S109" s="20">
        <v>143.32499999999999</v>
      </c>
      <c r="T109" s="20">
        <v>0</v>
      </c>
      <c r="U109" s="20">
        <v>223.65</v>
      </c>
      <c r="V109" s="20">
        <v>0</v>
      </c>
      <c r="W109" s="20">
        <v>0</v>
      </c>
      <c r="X109" s="20">
        <v>0</v>
      </c>
      <c r="Y109" s="20">
        <v>0</v>
      </c>
      <c r="Z109" s="20">
        <v>0</v>
      </c>
      <c r="AA109" s="20">
        <v>0</v>
      </c>
      <c r="AB109" s="20">
        <v>0</v>
      </c>
      <c r="AC109" s="20">
        <v>0</v>
      </c>
      <c r="AD109" s="20">
        <v>0</v>
      </c>
      <c r="AE109" s="20">
        <v>0</v>
      </c>
      <c r="AF109" s="20">
        <v>0</v>
      </c>
      <c r="AG109" s="20">
        <v>0</v>
      </c>
      <c r="AH109" s="20">
        <v>0</v>
      </c>
      <c r="AI109" s="20">
        <v>0</v>
      </c>
      <c r="AJ109" s="20">
        <v>0</v>
      </c>
      <c r="AK109" s="20">
        <v>0</v>
      </c>
      <c r="AL109" s="20">
        <v>0</v>
      </c>
      <c r="AM109" s="20">
        <v>0</v>
      </c>
      <c r="AN109" s="20">
        <v>0</v>
      </c>
      <c r="AO109" s="20">
        <v>0</v>
      </c>
      <c r="AP109" s="20">
        <v>0</v>
      </c>
      <c r="AQ109" s="20">
        <v>0</v>
      </c>
      <c r="AR109" s="20">
        <v>0</v>
      </c>
      <c r="AS109" s="20">
        <v>0</v>
      </c>
      <c r="AT109" s="20">
        <v>0</v>
      </c>
      <c r="AU109" s="20">
        <v>0</v>
      </c>
      <c r="AV109" s="20">
        <v>0</v>
      </c>
      <c r="AW109" s="20">
        <v>0</v>
      </c>
      <c r="AX109" s="20">
        <v>0</v>
      </c>
      <c r="AY109" s="20">
        <v>0</v>
      </c>
      <c r="AZ109" s="20">
        <v>0</v>
      </c>
      <c r="BA109" s="20">
        <v>0</v>
      </c>
      <c r="BB109" s="20">
        <v>0</v>
      </c>
      <c r="BC109" s="20">
        <v>0</v>
      </c>
      <c r="BD109" s="20">
        <v>0</v>
      </c>
      <c r="BE109" s="20">
        <v>0</v>
      </c>
      <c r="BF109" s="20">
        <v>0</v>
      </c>
      <c r="BG109" s="20">
        <v>0</v>
      </c>
      <c r="BH109" s="20">
        <v>0</v>
      </c>
      <c r="BI109" s="20">
        <v>0</v>
      </c>
      <c r="BJ109" s="20">
        <v>0</v>
      </c>
      <c r="BK109" s="20">
        <v>0</v>
      </c>
      <c r="BL109" s="20">
        <v>0</v>
      </c>
      <c r="BM109" s="14"/>
    </row>
    <row r="110" spans="1:71" x14ac:dyDescent="0.25">
      <c r="A110" s="17" t="str">
        <v>Specialty</v>
      </c>
      <c r="B110" s="17" t="str">
        <v>Torq Cockatoo</v>
      </c>
      <c r="C110" s="242">
        <f t="shared" si="1"/>
        <v>718.63499999999999</v>
      </c>
      <c r="D110" s="243">
        <f t="shared" si="0"/>
        <v>1.3954077669902913</v>
      </c>
      <c r="E110" s="20">
        <v>0</v>
      </c>
      <c r="F110" s="20">
        <v>0</v>
      </c>
      <c r="G110" s="20">
        <v>0</v>
      </c>
      <c r="H110" s="20">
        <v>216.09</v>
      </c>
      <c r="I110" s="20">
        <v>72.36</v>
      </c>
      <c r="J110" s="20">
        <v>0</v>
      </c>
      <c r="K110" s="20">
        <v>0</v>
      </c>
      <c r="L110" s="18">
        <v>0</v>
      </c>
      <c r="M110" s="18">
        <v>0</v>
      </c>
      <c r="N110" s="20">
        <v>0</v>
      </c>
      <c r="O110" s="20">
        <v>0</v>
      </c>
      <c r="P110" s="20">
        <v>290.32499999999999</v>
      </c>
      <c r="Q110" s="20">
        <v>0</v>
      </c>
      <c r="R110" s="20">
        <v>139.85999999999999</v>
      </c>
      <c r="S110" s="20">
        <v>0</v>
      </c>
      <c r="T110" s="20">
        <v>0</v>
      </c>
      <c r="U110" s="20">
        <v>0</v>
      </c>
      <c r="V110" s="20">
        <v>0</v>
      </c>
      <c r="W110" s="20">
        <v>0</v>
      </c>
      <c r="X110" s="20">
        <v>0</v>
      </c>
      <c r="Y110" s="20">
        <v>0</v>
      </c>
      <c r="Z110" s="20">
        <v>0</v>
      </c>
      <c r="AA110" s="20">
        <v>0</v>
      </c>
      <c r="AB110" s="20">
        <v>0</v>
      </c>
      <c r="AC110" s="20">
        <v>0</v>
      </c>
      <c r="AD110" s="20">
        <v>0</v>
      </c>
      <c r="AE110" s="20">
        <v>0</v>
      </c>
      <c r="AF110" s="20">
        <v>0</v>
      </c>
      <c r="AG110" s="20">
        <v>0</v>
      </c>
      <c r="AH110" s="20">
        <v>0</v>
      </c>
      <c r="AI110" s="20">
        <v>0</v>
      </c>
      <c r="AJ110" s="20">
        <v>0</v>
      </c>
      <c r="AK110" s="20">
        <v>0</v>
      </c>
      <c r="AL110" s="20">
        <v>0</v>
      </c>
      <c r="AM110" s="20">
        <v>0</v>
      </c>
      <c r="AN110" s="20">
        <v>0</v>
      </c>
      <c r="AO110" s="20">
        <v>0</v>
      </c>
      <c r="AP110" s="20">
        <v>0</v>
      </c>
      <c r="AQ110" s="20">
        <v>0</v>
      </c>
      <c r="AR110" s="20">
        <v>0</v>
      </c>
      <c r="AS110" s="20">
        <v>0</v>
      </c>
      <c r="AT110" s="20">
        <v>0</v>
      </c>
      <c r="AU110" s="20">
        <v>0</v>
      </c>
      <c r="AV110" s="20">
        <v>0</v>
      </c>
      <c r="AW110" s="20">
        <v>0</v>
      </c>
      <c r="AX110" s="20">
        <v>0</v>
      </c>
      <c r="AY110" s="20">
        <v>0</v>
      </c>
      <c r="AZ110" s="20">
        <v>0</v>
      </c>
      <c r="BA110" s="20">
        <v>0</v>
      </c>
      <c r="BB110" s="20">
        <v>0</v>
      </c>
      <c r="BC110" s="20">
        <v>0</v>
      </c>
      <c r="BD110" s="20">
        <v>0</v>
      </c>
      <c r="BE110" s="20">
        <v>0</v>
      </c>
      <c r="BF110" s="20">
        <v>0</v>
      </c>
      <c r="BG110" s="20">
        <v>0</v>
      </c>
      <c r="BH110" s="20">
        <v>0</v>
      </c>
      <c r="BI110" s="20">
        <v>0</v>
      </c>
      <c r="BJ110" s="20">
        <v>0</v>
      </c>
      <c r="BK110" s="20">
        <v>0</v>
      </c>
      <c r="BL110" s="20">
        <v>0</v>
      </c>
      <c r="BM110" s="14"/>
    </row>
    <row r="111" spans="1:71" x14ac:dyDescent="0.25">
      <c r="A111" s="17" t="str">
        <v>Specialty</v>
      </c>
      <c r="B111" s="17" t="str">
        <v>Torq Parrot</v>
      </c>
      <c r="C111" s="242">
        <f t="shared" si="1"/>
        <v>368.76</v>
      </c>
      <c r="D111" s="243">
        <f t="shared" si="0"/>
        <v>0.83809090909090911</v>
      </c>
      <c r="E111" s="20">
        <v>0</v>
      </c>
      <c r="F111" s="20">
        <v>0</v>
      </c>
      <c r="G111" s="20">
        <v>0</v>
      </c>
      <c r="H111" s="20">
        <v>154.35000000000002</v>
      </c>
      <c r="I111" s="20">
        <v>0</v>
      </c>
      <c r="J111" s="20">
        <v>0</v>
      </c>
      <c r="K111" s="20">
        <v>22.994999999999997</v>
      </c>
      <c r="L111" s="18">
        <v>50.4</v>
      </c>
      <c r="M111" s="18">
        <v>0</v>
      </c>
      <c r="N111" s="20">
        <v>0</v>
      </c>
      <c r="O111" s="20">
        <v>0</v>
      </c>
      <c r="P111" s="20">
        <v>0</v>
      </c>
      <c r="Q111" s="20">
        <v>0</v>
      </c>
      <c r="R111" s="20">
        <v>93.24</v>
      </c>
      <c r="S111" s="20">
        <v>47.774999999999999</v>
      </c>
      <c r="T111" s="20">
        <v>0</v>
      </c>
      <c r="U111" s="20">
        <v>0</v>
      </c>
      <c r="V111" s="20">
        <v>0</v>
      </c>
      <c r="W111" s="20">
        <v>0</v>
      </c>
      <c r="X111" s="20">
        <v>0</v>
      </c>
      <c r="Y111" s="20">
        <v>0</v>
      </c>
      <c r="Z111" s="20">
        <v>0</v>
      </c>
      <c r="AA111" s="20">
        <v>0</v>
      </c>
      <c r="AB111" s="20">
        <v>0</v>
      </c>
      <c r="AC111" s="20">
        <v>0</v>
      </c>
      <c r="AD111" s="20">
        <v>0</v>
      </c>
      <c r="AE111" s="20">
        <v>0</v>
      </c>
      <c r="AF111" s="20">
        <v>0</v>
      </c>
      <c r="AG111" s="20">
        <v>0</v>
      </c>
      <c r="AH111" s="20">
        <v>0</v>
      </c>
      <c r="AI111" s="20">
        <v>0</v>
      </c>
      <c r="AJ111" s="20">
        <v>0</v>
      </c>
      <c r="AK111" s="20">
        <v>0</v>
      </c>
      <c r="AL111" s="20">
        <v>0</v>
      </c>
      <c r="AM111" s="20">
        <v>0</v>
      </c>
      <c r="AN111" s="20">
        <v>0</v>
      </c>
      <c r="AO111" s="20">
        <v>0</v>
      </c>
      <c r="AP111" s="20">
        <v>0</v>
      </c>
      <c r="AQ111" s="20">
        <v>0</v>
      </c>
      <c r="AR111" s="20">
        <v>0</v>
      </c>
      <c r="AS111" s="20">
        <v>0</v>
      </c>
      <c r="AT111" s="20">
        <v>0</v>
      </c>
      <c r="AU111" s="20">
        <v>0</v>
      </c>
      <c r="AV111" s="20">
        <v>0</v>
      </c>
      <c r="AW111" s="20">
        <v>0</v>
      </c>
      <c r="AX111" s="20">
        <v>0</v>
      </c>
      <c r="AY111" s="20">
        <v>0</v>
      </c>
      <c r="AZ111" s="20">
        <v>0</v>
      </c>
      <c r="BA111" s="20">
        <v>0</v>
      </c>
      <c r="BB111" s="20">
        <v>0</v>
      </c>
      <c r="BC111" s="20">
        <v>0</v>
      </c>
      <c r="BD111" s="20">
        <v>0</v>
      </c>
      <c r="BE111" s="20">
        <v>0</v>
      </c>
      <c r="BF111" s="20">
        <v>0</v>
      </c>
      <c r="BG111" s="20">
        <v>0</v>
      </c>
      <c r="BH111" s="20">
        <v>0</v>
      </c>
      <c r="BI111" s="20">
        <v>0</v>
      </c>
      <c r="BJ111" s="20">
        <v>0</v>
      </c>
      <c r="BK111" s="20">
        <v>0</v>
      </c>
      <c r="BL111" s="20">
        <v>0</v>
      </c>
      <c r="BM111" s="14"/>
    </row>
    <row r="112" spans="1:71" x14ac:dyDescent="0.25">
      <c r="A112" s="17" t="str">
        <v>Specialty</v>
      </c>
      <c r="B112" s="17" t="str">
        <v>Specialty Wild Bird Mix</v>
      </c>
      <c r="C112" s="242">
        <f t="shared" si="1"/>
        <v>996.02999999999986</v>
      </c>
      <c r="D112" s="243">
        <f t="shared" si="0"/>
        <v>0.64053376205787771</v>
      </c>
      <c r="E112" s="20">
        <v>405.40499999999997</v>
      </c>
      <c r="F112" s="20">
        <v>0</v>
      </c>
      <c r="G112" s="20">
        <v>0</v>
      </c>
      <c r="H112" s="20">
        <v>0</v>
      </c>
      <c r="I112" s="20">
        <v>0</v>
      </c>
      <c r="J112" s="20">
        <v>0</v>
      </c>
      <c r="K112" s="20">
        <v>30.659999999999997</v>
      </c>
      <c r="L112" s="18">
        <v>161.28</v>
      </c>
      <c r="M112" s="18">
        <v>0</v>
      </c>
      <c r="N112" s="20">
        <v>0</v>
      </c>
      <c r="O112" s="20">
        <v>0</v>
      </c>
      <c r="P112" s="20">
        <v>0</v>
      </c>
      <c r="Q112" s="20">
        <v>0</v>
      </c>
      <c r="R112" s="20">
        <v>69.929999999999993</v>
      </c>
      <c r="S112" s="20">
        <v>105.105</v>
      </c>
      <c r="T112" s="20">
        <v>0</v>
      </c>
      <c r="U112" s="20">
        <v>223.65</v>
      </c>
      <c r="V112" s="20">
        <v>0</v>
      </c>
      <c r="W112" s="20">
        <v>0</v>
      </c>
      <c r="X112" s="20">
        <v>0</v>
      </c>
      <c r="Y112" s="20">
        <v>0</v>
      </c>
      <c r="Z112" s="20">
        <v>0</v>
      </c>
      <c r="AA112" s="20">
        <v>0</v>
      </c>
      <c r="AB112" s="20">
        <v>0</v>
      </c>
      <c r="AC112" s="20">
        <v>0</v>
      </c>
      <c r="AD112" s="20">
        <v>0</v>
      </c>
      <c r="AE112" s="20">
        <v>0</v>
      </c>
      <c r="AF112" s="20">
        <v>0</v>
      </c>
      <c r="AG112" s="20">
        <v>0</v>
      </c>
      <c r="AH112" s="20">
        <v>0</v>
      </c>
      <c r="AI112" s="20">
        <v>0</v>
      </c>
      <c r="AJ112" s="20">
        <v>0</v>
      </c>
      <c r="AK112" s="20">
        <v>0</v>
      </c>
      <c r="AL112" s="20">
        <v>0</v>
      </c>
      <c r="AM112" s="20">
        <v>0</v>
      </c>
      <c r="AN112" s="20">
        <v>0</v>
      </c>
      <c r="AO112" s="20">
        <v>0</v>
      </c>
      <c r="AP112" s="20">
        <v>0</v>
      </c>
      <c r="AQ112" s="20">
        <v>0</v>
      </c>
      <c r="AR112" s="20">
        <v>0</v>
      </c>
      <c r="AS112" s="20">
        <v>0</v>
      </c>
      <c r="AT112" s="20">
        <v>0</v>
      </c>
      <c r="AU112" s="20">
        <v>0</v>
      </c>
      <c r="AV112" s="20">
        <v>0</v>
      </c>
      <c r="AW112" s="20">
        <v>0</v>
      </c>
      <c r="AX112" s="20">
        <v>0</v>
      </c>
      <c r="AY112" s="20">
        <v>0</v>
      </c>
      <c r="AZ112" s="20">
        <v>0</v>
      </c>
      <c r="BA112" s="20">
        <v>0</v>
      </c>
      <c r="BB112" s="20">
        <v>0</v>
      </c>
      <c r="BC112" s="20">
        <v>0</v>
      </c>
      <c r="BD112" s="20">
        <v>0</v>
      </c>
      <c r="BE112" s="20">
        <v>0</v>
      </c>
      <c r="BF112" s="20">
        <v>0</v>
      </c>
      <c r="BG112" s="20">
        <v>0</v>
      </c>
      <c r="BH112" s="20">
        <v>0</v>
      </c>
      <c r="BI112" s="20">
        <v>0</v>
      </c>
      <c r="BJ112" s="20">
        <v>0</v>
      </c>
      <c r="BK112" s="20">
        <v>0</v>
      </c>
      <c r="BL112" s="20">
        <v>0</v>
      </c>
      <c r="BM112" s="14"/>
    </row>
    <row r="113" spans="1:65" x14ac:dyDescent="0.25">
      <c r="A113" s="17" t="str">
        <v>Pigeon Mixes</v>
      </c>
      <c r="B113" s="17" t="str">
        <v>Breeder Maize</v>
      </c>
      <c r="C113" s="242">
        <f t="shared" si="1"/>
        <v>692.05490540540541</v>
      </c>
      <c r="D113" s="243">
        <f t="shared" si="0"/>
        <v>0.7004604305722727</v>
      </c>
      <c r="E113" s="20">
        <v>0</v>
      </c>
      <c r="F113" s="20">
        <v>0</v>
      </c>
      <c r="G113" s="20">
        <v>0</v>
      </c>
      <c r="H113" s="20">
        <v>0</v>
      </c>
      <c r="I113" s="20">
        <v>0</v>
      </c>
      <c r="J113" s="20">
        <v>0</v>
      </c>
      <c r="K113" s="20">
        <v>38.324999999999996</v>
      </c>
      <c r="L113" s="18">
        <v>0</v>
      </c>
      <c r="M113" s="18">
        <v>0</v>
      </c>
      <c r="N113" s="20">
        <v>0</v>
      </c>
      <c r="O113" s="20">
        <v>349.23750000000001</v>
      </c>
      <c r="P113" s="20">
        <v>0</v>
      </c>
      <c r="Q113" s="20">
        <v>0</v>
      </c>
      <c r="R113" s="20">
        <v>116.55</v>
      </c>
      <c r="S113" s="20">
        <v>47.774999999999999</v>
      </c>
      <c r="T113" s="20">
        <v>0</v>
      </c>
      <c r="U113" s="20">
        <v>0</v>
      </c>
      <c r="V113" s="20">
        <v>0</v>
      </c>
      <c r="W113" s="20">
        <v>0</v>
      </c>
      <c r="X113" s="20">
        <v>0</v>
      </c>
      <c r="Y113" s="20">
        <v>45.15</v>
      </c>
      <c r="Z113" s="20">
        <v>0</v>
      </c>
      <c r="AA113" s="20">
        <v>0</v>
      </c>
      <c r="AB113" s="20">
        <v>0</v>
      </c>
      <c r="AC113" s="20">
        <v>0</v>
      </c>
      <c r="AD113" s="20">
        <v>0</v>
      </c>
      <c r="AE113" s="20">
        <v>0</v>
      </c>
      <c r="AF113" s="20">
        <v>0</v>
      </c>
      <c r="AG113" s="20">
        <v>0</v>
      </c>
      <c r="AH113" s="20">
        <v>0</v>
      </c>
      <c r="AI113" s="20">
        <v>0</v>
      </c>
      <c r="AJ113" s="20">
        <v>0</v>
      </c>
      <c r="AK113" s="20">
        <v>0</v>
      </c>
      <c r="AL113" s="20">
        <v>95.017405405405398</v>
      </c>
      <c r="AM113" s="20">
        <v>0</v>
      </c>
      <c r="AN113" s="20">
        <v>0</v>
      </c>
      <c r="AO113" s="20">
        <v>0</v>
      </c>
      <c r="AP113" s="20">
        <v>0</v>
      </c>
      <c r="AQ113" s="20">
        <v>0</v>
      </c>
      <c r="AR113" s="20">
        <v>0</v>
      </c>
      <c r="AS113" s="20">
        <v>0</v>
      </c>
      <c r="AT113" s="20">
        <v>0</v>
      </c>
      <c r="AU113" s="20">
        <v>0</v>
      </c>
      <c r="AV113" s="20">
        <v>0</v>
      </c>
      <c r="AW113" s="20">
        <v>0</v>
      </c>
      <c r="AX113" s="20">
        <v>0</v>
      </c>
      <c r="AY113" s="20">
        <v>0</v>
      </c>
      <c r="AZ113" s="20">
        <v>0</v>
      </c>
      <c r="BA113" s="20">
        <v>0</v>
      </c>
      <c r="BB113" s="20">
        <v>0</v>
      </c>
      <c r="BC113" s="20">
        <v>0</v>
      </c>
      <c r="BD113" s="20">
        <v>0</v>
      </c>
      <c r="BE113" s="20">
        <v>0</v>
      </c>
      <c r="BF113" s="20">
        <v>0</v>
      </c>
      <c r="BG113" s="20">
        <v>0</v>
      </c>
      <c r="BH113" s="20">
        <v>0</v>
      </c>
      <c r="BI113" s="20">
        <v>0</v>
      </c>
      <c r="BJ113" s="20">
        <v>0</v>
      </c>
      <c r="BK113" s="20">
        <v>0</v>
      </c>
      <c r="BL113" s="20">
        <v>0</v>
      </c>
      <c r="BM113" s="14"/>
    </row>
    <row r="114" spans="1:65" x14ac:dyDescent="0.25">
      <c r="A114" s="17" t="str">
        <v>Pigeon Mixes</v>
      </c>
      <c r="B114" s="17" t="str">
        <v>Breeder Pre Mix</v>
      </c>
      <c r="C114" s="242">
        <f t="shared" si="1"/>
        <v>587.67000000000007</v>
      </c>
      <c r="D114" s="243">
        <f t="shared" si="0"/>
        <v>1.0588648648648651</v>
      </c>
      <c r="E114" s="20">
        <v>0</v>
      </c>
      <c r="F114" s="20">
        <v>0</v>
      </c>
      <c r="G114" s="20">
        <v>26.520000000000003</v>
      </c>
      <c r="H114" s="20">
        <v>0</v>
      </c>
      <c r="I114" s="20">
        <v>72.36</v>
      </c>
      <c r="J114" s="20">
        <v>153.75</v>
      </c>
      <c r="K114" s="20">
        <v>0</v>
      </c>
      <c r="L114" s="18">
        <v>0</v>
      </c>
      <c r="M114" s="18">
        <v>0</v>
      </c>
      <c r="N114" s="20">
        <v>0</v>
      </c>
      <c r="O114" s="20">
        <v>0</v>
      </c>
      <c r="P114" s="20">
        <v>132.72</v>
      </c>
      <c r="Q114" s="20">
        <v>0</v>
      </c>
      <c r="R114" s="20">
        <v>0</v>
      </c>
      <c r="S114" s="20">
        <v>0</v>
      </c>
      <c r="T114" s="20">
        <v>118.32000000000001</v>
      </c>
      <c r="U114" s="20">
        <v>0</v>
      </c>
      <c r="V114" s="20">
        <v>84</v>
      </c>
      <c r="W114" s="20">
        <v>0</v>
      </c>
      <c r="X114" s="20">
        <v>0</v>
      </c>
      <c r="Y114" s="20">
        <v>0</v>
      </c>
      <c r="Z114" s="20">
        <v>0</v>
      </c>
      <c r="AA114" s="20">
        <v>0</v>
      </c>
      <c r="AB114" s="20">
        <v>0</v>
      </c>
      <c r="AC114" s="20">
        <v>0</v>
      </c>
      <c r="AD114" s="20">
        <v>0</v>
      </c>
      <c r="AE114" s="20">
        <v>0</v>
      </c>
      <c r="AF114" s="20">
        <v>0</v>
      </c>
      <c r="AG114" s="20">
        <v>0</v>
      </c>
      <c r="AH114" s="20">
        <v>0</v>
      </c>
      <c r="AI114" s="20">
        <v>0</v>
      </c>
      <c r="AJ114" s="20">
        <v>0</v>
      </c>
      <c r="AK114" s="20">
        <v>0</v>
      </c>
      <c r="AL114" s="20">
        <v>0</v>
      </c>
      <c r="AM114" s="20">
        <v>0</v>
      </c>
      <c r="AN114" s="20">
        <v>0</v>
      </c>
      <c r="AO114" s="20">
        <v>0</v>
      </c>
      <c r="AP114" s="20">
        <v>0</v>
      </c>
      <c r="AQ114" s="20">
        <v>0</v>
      </c>
      <c r="AR114" s="20">
        <v>0</v>
      </c>
      <c r="AS114" s="20">
        <v>0</v>
      </c>
      <c r="AT114" s="20">
        <v>0</v>
      </c>
      <c r="AU114" s="20">
        <v>0</v>
      </c>
      <c r="AV114" s="20">
        <v>0</v>
      </c>
      <c r="AW114" s="20">
        <v>0</v>
      </c>
      <c r="AX114" s="20">
        <v>0</v>
      </c>
      <c r="AY114" s="20">
        <v>0</v>
      </c>
      <c r="AZ114" s="20">
        <v>0</v>
      </c>
      <c r="BA114" s="20">
        <v>0</v>
      </c>
      <c r="BB114" s="20">
        <v>0</v>
      </c>
      <c r="BC114" s="20">
        <v>0</v>
      </c>
      <c r="BD114" s="20">
        <v>0</v>
      </c>
      <c r="BE114" s="20">
        <v>0</v>
      </c>
      <c r="BF114" s="20">
        <v>0</v>
      </c>
      <c r="BG114" s="20">
        <v>0</v>
      </c>
      <c r="BH114" s="20">
        <v>0</v>
      </c>
      <c r="BI114" s="20">
        <v>0</v>
      </c>
      <c r="BJ114" s="20">
        <v>0</v>
      </c>
      <c r="BK114" s="20">
        <v>0</v>
      </c>
      <c r="BL114" s="20">
        <v>0</v>
      </c>
      <c r="BM114" s="14"/>
    </row>
    <row r="115" spans="1:65" x14ac:dyDescent="0.25">
      <c r="A115" s="17" t="str">
        <v>Pigeon Mixes</v>
      </c>
      <c r="B115" s="17" t="str">
        <v>Breeders Popcorn</v>
      </c>
      <c r="C115" s="242">
        <f t="shared" si="1"/>
        <v>741.92990540540529</v>
      </c>
      <c r="D115" s="243">
        <f t="shared" si="0"/>
        <v>0.75094119980304175</v>
      </c>
      <c r="E115" s="20">
        <v>0</v>
      </c>
      <c r="F115" s="20">
        <v>0</v>
      </c>
      <c r="G115" s="20">
        <v>0</v>
      </c>
      <c r="H115" s="20">
        <v>0</v>
      </c>
      <c r="I115" s="20">
        <v>0</v>
      </c>
      <c r="J115" s="20">
        <v>0</v>
      </c>
      <c r="K115" s="20">
        <v>0</v>
      </c>
      <c r="L115" s="18">
        <v>0</v>
      </c>
      <c r="M115" s="18">
        <v>0</v>
      </c>
      <c r="N115" s="20">
        <v>0</v>
      </c>
      <c r="O115" s="20">
        <v>349.23750000000001</v>
      </c>
      <c r="P115" s="20">
        <v>0</v>
      </c>
      <c r="Q115" s="20">
        <v>88.2</v>
      </c>
      <c r="R115" s="20">
        <v>116.55</v>
      </c>
      <c r="S115" s="20">
        <v>47.774999999999999</v>
      </c>
      <c r="T115" s="20">
        <v>0</v>
      </c>
      <c r="U115" s="20">
        <v>0</v>
      </c>
      <c r="V115" s="20">
        <v>0</v>
      </c>
      <c r="W115" s="20">
        <v>0</v>
      </c>
      <c r="X115" s="20">
        <v>0</v>
      </c>
      <c r="Y115" s="20">
        <v>45.15</v>
      </c>
      <c r="Z115" s="20">
        <v>0</v>
      </c>
      <c r="AA115" s="20">
        <v>0</v>
      </c>
      <c r="AB115" s="20">
        <v>0</v>
      </c>
      <c r="AC115" s="20">
        <v>0</v>
      </c>
      <c r="AD115" s="20">
        <v>0</v>
      </c>
      <c r="AE115" s="20">
        <v>0</v>
      </c>
      <c r="AF115" s="20">
        <v>0</v>
      </c>
      <c r="AG115" s="20">
        <v>0</v>
      </c>
      <c r="AH115" s="20">
        <v>0</v>
      </c>
      <c r="AI115" s="20">
        <v>0</v>
      </c>
      <c r="AJ115" s="20">
        <v>0</v>
      </c>
      <c r="AK115" s="20">
        <v>0</v>
      </c>
      <c r="AL115" s="20">
        <v>95.017405405405398</v>
      </c>
      <c r="AM115" s="20">
        <v>0</v>
      </c>
      <c r="AN115" s="20">
        <v>0</v>
      </c>
      <c r="AO115" s="20">
        <v>0</v>
      </c>
      <c r="AP115" s="20">
        <v>0</v>
      </c>
      <c r="AQ115" s="20">
        <v>0</v>
      </c>
      <c r="AR115" s="20">
        <v>0</v>
      </c>
      <c r="AS115" s="20">
        <v>0</v>
      </c>
      <c r="AT115" s="20">
        <v>0</v>
      </c>
      <c r="AU115" s="20">
        <v>0</v>
      </c>
      <c r="AV115" s="20">
        <v>0</v>
      </c>
      <c r="AW115" s="20">
        <v>0</v>
      </c>
      <c r="AX115" s="20">
        <v>0</v>
      </c>
      <c r="AY115" s="20">
        <v>0</v>
      </c>
      <c r="AZ115" s="20">
        <v>0</v>
      </c>
      <c r="BA115" s="20">
        <v>0</v>
      </c>
      <c r="BB115" s="20">
        <v>0</v>
      </c>
      <c r="BC115" s="20">
        <v>0</v>
      </c>
      <c r="BD115" s="20">
        <v>0</v>
      </c>
      <c r="BE115" s="20">
        <v>0</v>
      </c>
      <c r="BF115" s="20">
        <v>0</v>
      </c>
      <c r="BG115" s="20">
        <v>0</v>
      </c>
      <c r="BH115" s="20">
        <v>0</v>
      </c>
      <c r="BI115" s="20">
        <v>0</v>
      </c>
      <c r="BJ115" s="20">
        <v>0</v>
      </c>
      <c r="BK115" s="20">
        <v>0</v>
      </c>
      <c r="BL115" s="20">
        <v>0</v>
      </c>
      <c r="BM115" s="14"/>
    </row>
    <row r="116" spans="1:65" x14ac:dyDescent="0.25">
      <c r="A116" s="17" t="str">
        <v>Pigeon Mixes</v>
      </c>
      <c r="B116" s="17" t="str">
        <v>Budget</v>
      </c>
      <c r="C116" s="242">
        <f t="shared" si="1"/>
        <v>566.03662499999996</v>
      </c>
      <c r="D116" s="243">
        <f t="shared" si="0"/>
        <v>0.58055038461538455</v>
      </c>
      <c r="E116" s="20">
        <v>0</v>
      </c>
      <c r="F116" s="20">
        <v>0</v>
      </c>
      <c r="G116" s="20">
        <v>0</v>
      </c>
      <c r="H116" s="20">
        <v>0</v>
      </c>
      <c r="I116" s="20">
        <v>0</v>
      </c>
      <c r="J116" s="20">
        <v>0</v>
      </c>
      <c r="K116" s="20">
        <v>38.324999999999996</v>
      </c>
      <c r="L116" s="18">
        <v>0</v>
      </c>
      <c r="M116" s="18">
        <v>0</v>
      </c>
      <c r="N116" s="20">
        <v>0</v>
      </c>
      <c r="O116" s="20">
        <v>192.08062500000003</v>
      </c>
      <c r="P116" s="20">
        <v>0</v>
      </c>
      <c r="Q116" s="20">
        <v>0</v>
      </c>
      <c r="R116" s="20">
        <v>116.55</v>
      </c>
      <c r="S116" s="20">
        <v>76.44</v>
      </c>
      <c r="T116" s="20">
        <v>11.832000000000001</v>
      </c>
      <c r="U116" s="20">
        <v>0</v>
      </c>
      <c r="V116" s="20">
        <v>0</v>
      </c>
      <c r="W116" s="20">
        <v>49.539000000000001</v>
      </c>
      <c r="X116" s="20">
        <v>0</v>
      </c>
      <c r="Y116" s="20">
        <v>81.27</v>
      </c>
      <c r="Z116" s="20">
        <v>0</v>
      </c>
      <c r="AA116" s="20">
        <v>0</v>
      </c>
      <c r="AB116" s="20">
        <v>0</v>
      </c>
      <c r="AC116" s="20">
        <v>0</v>
      </c>
      <c r="AD116" s="20">
        <v>0</v>
      </c>
      <c r="AE116" s="20">
        <v>0</v>
      </c>
      <c r="AF116" s="20">
        <v>0</v>
      </c>
      <c r="AG116" s="20">
        <v>0</v>
      </c>
      <c r="AH116" s="20">
        <v>0</v>
      </c>
      <c r="AI116" s="20">
        <v>0</v>
      </c>
      <c r="AJ116" s="20">
        <v>0</v>
      </c>
      <c r="AK116" s="20">
        <v>0</v>
      </c>
      <c r="AL116" s="20">
        <v>0</v>
      </c>
      <c r="AM116" s="20">
        <v>0</v>
      </c>
      <c r="AN116" s="20">
        <v>0</v>
      </c>
      <c r="AO116" s="20">
        <v>0</v>
      </c>
      <c r="AP116" s="20">
        <v>0</v>
      </c>
      <c r="AQ116" s="20">
        <v>0</v>
      </c>
      <c r="AR116" s="20">
        <v>0</v>
      </c>
      <c r="AS116" s="20">
        <v>0</v>
      </c>
      <c r="AT116" s="20">
        <v>0</v>
      </c>
      <c r="AU116" s="20">
        <v>0</v>
      </c>
      <c r="AV116" s="20">
        <v>0</v>
      </c>
      <c r="AW116" s="20">
        <v>0</v>
      </c>
      <c r="AX116" s="20">
        <v>0</v>
      </c>
      <c r="AY116" s="20">
        <v>0</v>
      </c>
      <c r="AZ116" s="20">
        <v>0</v>
      </c>
      <c r="BA116" s="20">
        <v>0</v>
      </c>
      <c r="BB116" s="20">
        <v>0</v>
      </c>
      <c r="BC116" s="20">
        <v>0</v>
      </c>
      <c r="BD116" s="20">
        <v>0</v>
      </c>
      <c r="BE116" s="20">
        <v>0</v>
      </c>
      <c r="BF116" s="20">
        <v>0</v>
      </c>
      <c r="BG116" s="20">
        <v>0</v>
      </c>
      <c r="BH116" s="20">
        <v>0</v>
      </c>
      <c r="BI116" s="20">
        <v>0</v>
      </c>
      <c r="BJ116" s="20">
        <v>0</v>
      </c>
      <c r="BK116" s="20">
        <v>0</v>
      </c>
      <c r="BL116" s="20">
        <v>0</v>
      </c>
      <c r="BM116" s="14"/>
    </row>
    <row r="117" spans="1:65" x14ac:dyDescent="0.25">
      <c r="A117" s="17" t="str">
        <v>Pigeon Mixes</v>
      </c>
      <c r="B117" s="17" t="str">
        <v>Custom - Birdseed Mix</v>
      </c>
      <c r="C117" s="242">
        <f t="shared" si="1"/>
        <v>58.330825000000004</v>
      </c>
      <c r="D117" s="243">
        <f t="shared" si="0"/>
        <v>0.58330825000000008</v>
      </c>
      <c r="E117" s="20">
        <v>0</v>
      </c>
      <c r="F117" s="20">
        <v>0</v>
      </c>
      <c r="G117" s="20">
        <v>1.3260000000000001</v>
      </c>
      <c r="H117" s="20">
        <v>0</v>
      </c>
      <c r="I117" s="20">
        <v>0</v>
      </c>
      <c r="J117" s="20">
        <v>2.0499999999999998</v>
      </c>
      <c r="K117" s="20">
        <v>3.0659999999999998</v>
      </c>
      <c r="L117" s="18">
        <v>0</v>
      </c>
      <c r="M117" s="18">
        <v>0</v>
      </c>
      <c r="N117" s="20">
        <v>0</v>
      </c>
      <c r="O117" s="20">
        <v>3.4923750000000005</v>
      </c>
      <c r="P117" s="20">
        <v>0</v>
      </c>
      <c r="Q117" s="20">
        <v>0</v>
      </c>
      <c r="R117" s="20">
        <v>11.654999999999999</v>
      </c>
      <c r="S117" s="20">
        <v>14.3325</v>
      </c>
      <c r="T117" s="20">
        <v>1.1832</v>
      </c>
      <c r="U117" s="20">
        <v>0</v>
      </c>
      <c r="V117" s="20">
        <v>0</v>
      </c>
      <c r="W117" s="20">
        <v>0</v>
      </c>
      <c r="X117" s="20">
        <v>0</v>
      </c>
      <c r="Y117" s="20">
        <v>18.060000000000002</v>
      </c>
      <c r="Z117" s="20">
        <v>3.1657500000000001</v>
      </c>
      <c r="AA117" s="20">
        <v>0</v>
      </c>
      <c r="AB117" s="20">
        <v>0</v>
      </c>
      <c r="AC117" s="20">
        <v>0</v>
      </c>
      <c r="AD117" s="20">
        <v>0</v>
      </c>
      <c r="AE117" s="20">
        <v>0</v>
      </c>
      <c r="AF117" s="20">
        <v>0</v>
      </c>
      <c r="AG117" s="20">
        <v>0</v>
      </c>
      <c r="AH117" s="20">
        <v>0</v>
      </c>
      <c r="AI117" s="20">
        <v>0</v>
      </c>
      <c r="AJ117" s="20">
        <v>0</v>
      </c>
      <c r="AK117" s="20">
        <v>0</v>
      </c>
      <c r="AL117" s="20">
        <v>0</v>
      </c>
      <c r="AM117" s="20">
        <v>0</v>
      </c>
      <c r="AN117" s="20">
        <v>0</v>
      </c>
      <c r="AO117" s="20">
        <v>0</v>
      </c>
      <c r="AP117" s="20">
        <v>0</v>
      </c>
      <c r="AQ117" s="20">
        <v>0</v>
      </c>
      <c r="AR117" s="20">
        <v>0</v>
      </c>
      <c r="AS117" s="20">
        <v>0</v>
      </c>
      <c r="AT117" s="20">
        <v>0</v>
      </c>
      <c r="AU117" s="20">
        <v>0</v>
      </c>
      <c r="AV117" s="20">
        <v>0</v>
      </c>
      <c r="AW117" s="20">
        <v>0</v>
      </c>
      <c r="AX117" s="20">
        <v>0</v>
      </c>
      <c r="AY117" s="20">
        <v>0</v>
      </c>
      <c r="AZ117" s="20">
        <v>0</v>
      </c>
      <c r="BA117" s="20">
        <v>0</v>
      </c>
      <c r="BB117" s="20">
        <v>0</v>
      </c>
      <c r="BC117" s="20">
        <v>0</v>
      </c>
      <c r="BD117" s="20">
        <v>0</v>
      </c>
      <c r="BE117" s="20">
        <v>0</v>
      </c>
      <c r="BF117" s="20">
        <v>0</v>
      </c>
      <c r="BG117" s="20">
        <v>0</v>
      </c>
      <c r="BH117" s="20">
        <v>0</v>
      </c>
      <c r="BI117" s="20">
        <v>0</v>
      </c>
      <c r="BJ117" s="20">
        <v>0</v>
      </c>
      <c r="BK117" s="20">
        <v>0</v>
      </c>
      <c r="BL117" s="20">
        <v>0</v>
      </c>
      <c r="BM117" s="14"/>
    </row>
    <row r="118" spans="1:65" x14ac:dyDescent="0.25">
      <c r="A118" s="17" t="str">
        <v>Pigeon Mixes</v>
      </c>
      <c r="B118" s="17" t="str">
        <v>Depurative</v>
      </c>
      <c r="C118" s="242">
        <f t="shared" si="1"/>
        <v>516.48374999999999</v>
      </c>
      <c r="D118" s="243">
        <f t="shared" si="0"/>
        <v>0.52972692307692304</v>
      </c>
      <c r="E118" s="20">
        <v>0</v>
      </c>
      <c r="F118" s="20">
        <v>0</v>
      </c>
      <c r="G118" s="20">
        <v>0</v>
      </c>
      <c r="H118" s="20">
        <v>0</v>
      </c>
      <c r="I118" s="20">
        <v>9.0449999999999999</v>
      </c>
      <c r="J118" s="20">
        <v>0</v>
      </c>
      <c r="K118" s="20">
        <v>0</v>
      </c>
      <c r="L118" s="18">
        <v>0</v>
      </c>
      <c r="M118" s="18">
        <v>0</v>
      </c>
      <c r="N118" s="20">
        <v>0</v>
      </c>
      <c r="O118" s="20">
        <v>0</v>
      </c>
      <c r="P118" s="20">
        <v>33.18</v>
      </c>
      <c r="Q118" s="20">
        <v>0</v>
      </c>
      <c r="R118" s="20">
        <v>116.55</v>
      </c>
      <c r="S118" s="20">
        <v>59.71875</v>
      </c>
      <c r="T118" s="20">
        <v>0</v>
      </c>
      <c r="U118" s="20">
        <v>0</v>
      </c>
      <c r="V118" s="20">
        <v>21</v>
      </c>
      <c r="W118" s="20">
        <v>141.54</v>
      </c>
      <c r="X118" s="20">
        <v>0</v>
      </c>
      <c r="Y118" s="20">
        <v>135.45000000000002</v>
      </c>
      <c r="Z118" s="20">
        <v>0</v>
      </c>
      <c r="AA118" s="20">
        <v>0</v>
      </c>
      <c r="AB118" s="20">
        <v>0</v>
      </c>
      <c r="AC118" s="20">
        <v>0</v>
      </c>
      <c r="AD118" s="20">
        <v>0</v>
      </c>
      <c r="AE118" s="20">
        <v>0</v>
      </c>
      <c r="AF118" s="20">
        <v>0</v>
      </c>
      <c r="AG118" s="20">
        <v>0</v>
      </c>
      <c r="AH118" s="20">
        <v>0</v>
      </c>
      <c r="AI118" s="20">
        <v>0</v>
      </c>
      <c r="AJ118" s="20">
        <v>0</v>
      </c>
      <c r="AK118" s="20">
        <v>0</v>
      </c>
      <c r="AL118" s="20">
        <v>0</v>
      </c>
      <c r="AM118" s="20">
        <v>0</v>
      </c>
      <c r="AN118" s="20">
        <v>0</v>
      </c>
      <c r="AO118" s="20">
        <v>0</v>
      </c>
      <c r="AP118" s="20">
        <v>0</v>
      </c>
      <c r="AQ118" s="20">
        <v>0</v>
      </c>
      <c r="AR118" s="20">
        <v>0</v>
      </c>
      <c r="AS118" s="20">
        <v>0</v>
      </c>
      <c r="AT118" s="20">
        <v>0</v>
      </c>
      <c r="AU118" s="20">
        <v>0</v>
      </c>
      <c r="AV118" s="20">
        <v>0</v>
      </c>
      <c r="AW118" s="20">
        <v>0</v>
      </c>
      <c r="AX118" s="20">
        <v>0</v>
      </c>
      <c r="AY118" s="20">
        <v>0</v>
      </c>
      <c r="AZ118" s="20">
        <v>0</v>
      </c>
      <c r="BA118" s="20">
        <v>0</v>
      </c>
      <c r="BB118" s="20">
        <v>0</v>
      </c>
      <c r="BC118" s="20">
        <v>0</v>
      </c>
      <c r="BD118" s="20">
        <v>0</v>
      </c>
      <c r="BE118" s="20">
        <v>0</v>
      </c>
      <c r="BF118" s="20">
        <v>0</v>
      </c>
      <c r="BG118" s="20">
        <v>0</v>
      </c>
      <c r="BH118" s="20">
        <v>0</v>
      </c>
      <c r="BI118" s="20">
        <v>0</v>
      </c>
      <c r="BJ118" s="20">
        <v>0</v>
      </c>
      <c r="BK118" s="20">
        <v>0</v>
      </c>
      <c r="BL118" s="20">
        <v>0</v>
      </c>
      <c r="BM118" s="14"/>
    </row>
    <row r="119" spans="1:65" x14ac:dyDescent="0.25">
      <c r="A119" s="17" t="str">
        <v>Pigeon Mixes</v>
      </c>
      <c r="B119" s="17" t="str">
        <v xml:space="preserve">Fancy </v>
      </c>
      <c r="C119" s="242">
        <f t="shared" si="1"/>
        <v>630.03750000000002</v>
      </c>
      <c r="D119" s="243">
        <f t="shared" si="0"/>
        <v>0.63640151515151522</v>
      </c>
      <c r="E119" s="20">
        <v>0</v>
      </c>
      <c r="F119" s="20">
        <v>0</v>
      </c>
      <c r="G119" s="20">
        <v>0</v>
      </c>
      <c r="H119" s="20">
        <v>0</v>
      </c>
      <c r="I119" s="20">
        <v>0</v>
      </c>
      <c r="J119" s="20">
        <v>0</v>
      </c>
      <c r="K119" s="20">
        <v>0</v>
      </c>
      <c r="L119" s="18">
        <v>0</v>
      </c>
      <c r="M119" s="18">
        <v>0</v>
      </c>
      <c r="N119" s="20">
        <v>0</v>
      </c>
      <c r="O119" s="20">
        <v>209.54250000000002</v>
      </c>
      <c r="P119" s="20">
        <v>0</v>
      </c>
      <c r="Q119" s="20">
        <v>52.92</v>
      </c>
      <c r="R119" s="20">
        <v>116.55</v>
      </c>
      <c r="S119" s="20">
        <v>85.995000000000005</v>
      </c>
      <c r="T119" s="20">
        <v>29.580000000000002</v>
      </c>
      <c r="U119" s="20">
        <v>0</v>
      </c>
      <c r="V119" s="20">
        <v>0</v>
      </c>
      <c r="W119" s="20">
        <v>0</v>
      </c>
      <c r="X119" s="20">
        <v>0</v>
      </c>
      <c r="Y119" s="20">
        <v>135.45000000000002</v>
      </c>
      <c r="Z119" s="20">
        <v>0</v>
      </c>
      <c r="AA119" s="20">
        <v>0</v>
      </c>
      <c r="AB119" s="20">
        <v>0</v>
      </c>
      <c r="AC119" s="20">
        <v>0</v>
      </c>
      <c r="AD119" s="20">
        <v>0</v>
      </c>
      <c r="AE119" s="20">
        <v>0</v>
      </c>
      <c r="AF119" s="20">
        <v>0</v>
      </c>
      <c r="AG119" s="20">
        <v>0</v>
      </c>
      <c r="AH119" s="20">
        <v>0</v>
      </c>
      <c r="AI119" s="20">
        <v>0</v>
      </c>
      <c r="AJ119" s="20">
        <v>0</v>
      </c>
      <c r="AK119" s="20">
        <v>0</v>
      </c>
      <c r="AL119" s="20">
        <v>0</v>
      </c>
      <c r="AM119" s="20">
        <v>0</v>
      </c>
      <c r="AN119" s="20">
        <v>0</v>
      </c>
      <c r="AO119" s="20">
        <v>0</v>
      </c>
      <c r="AP119" s="20">
        <v>0</v>
      </c>
      <c r="AQ119" s="20">
        <v>0</v>
      </c>
      <c r="AR119" s="20">
        <v>0</v>
      </c>
      <c r="AS119" s="20">
        <v>0</v>
      </c>
      <c r="AT119" s="20">
        <v>0</v>
      </c>
      <c r="AU119" s="20">
        <v>0</v>
      </c>
      <c r="AV119" s="20">
        <v>0</v>
      </c>
      <c r="AW119" s="20">
        <v>0</v>
      </c>
      <c r="AX119" s="20">
        <v>0</v>
      </c>
      <c r="AY119" s="20">
        <v>0</v>
      </c>
      <c r="AZ119" s="20">
        <v>0</v>
      </c>
      <c r="BA119" s="20">
        <v>0</v>
      </c>
      <c r="BB119" s="20">
        <v>0</v>
      </c>
      <c r="BC119" s="20">
        <v>0</v>
      </c>
      <c r="BD119" s="20">
        <v>0</v>
      </c>
      <c r="BE119" s="20">
        <v>0</v>
      </c>
      <c r="BF119" s="20">
        <v>0</v>
      </c>
      <c r="BG119" s="20">
        <v>0</v>
      </c>
      <c r="BH119" s="20">
        <v>0</v>
      </c>
      <c r="BI119" s="20">
        <v>0</v>
      </c>
      <c r="BJ119" s="20">
        <v>0</v>
      </c>
      <c r="BK119" s="20">
        <v>0</v>
      </c>
      <c r="BL119" s="20">
        <v>0</v>
      </c>
      <c r="BM119" s="14"/>
    </row>
    <row r="120" spans="1:65" x14ac:dyDescent="0.25">
      <c r="A120" s="17" t="str">
        <v>Pigeon Mixes</v>
      </c>
      <c r="B120" s="17" t="str">
        <v>Fancy Mung</v>
      </c>
      <c r="C120" s="242">
        <f t="shared" si="1"/>
        <v>649.00124999999991</v>
      </c>
      <c r="D120" s="243">
        <f t="shared" si="0"/>
        <v>0.64900124999999986</v>
      </c>
      <c r="E120" s="20">
        <v>0</v>
      </c>
      <c r="F120" s="20">
        <v>0</v>
      </c>
      <c r="G120" s="20">
        <v>0</v>
      </c>
      <c r="H120" s="20">
        <v>0</v>
      </c>
      <c r="I120" s="20">
        <v>0</v>
      </c>
      <c r="J120" s="20">
        <v>0</v>
      </c>
      <c r="K120" s="20">
        <v>0</v>
      </c>
      <c r="L120" s="18">
        <v>0</v>
      </c>
      <c r="M120" s="18">
        <v>0</v>
      </c>
      <c r="N120" s="20">
        <v>0</v>
      </c>
      <c r="O120" s="20">
        <v>0</v>
      </c>
      <c r="P120" s="20">
        <v>0</v>
      </c>
      <c r="Q120" s="20">
        <v>52.92</v>
      </c>
      <c r="R120" s="20">
        <v>163.16999999999999</v>
      </c>
      <c r="S120" s="20">
        <v>148.10249999999999</v>
      </c>
      <c r="T120" s="20">
        <v>29.580000000000002</v>
      </c>
      <c r="U120" s="20">
        <v>0</v>
      </c>
      <c r="V120" s="20">
        <v>0</v>
      </c>
      <c r="W120" s="20">
        <v>0</v>
      </c>
      <c r="X120" s="20">
        <v>0</v>
      </c>
      <c r="Y120" s="20">
        <v>176.08500000000001</v>
      </c>
      <c r="Z120" s="20">
        <v>79.143749999999997</v>
      </c>
      <c r="AA120" s="20">
        <v>0</v>
      </c>
      <c r="AB120" s="20">
        <v>0</v>
      </c>
      <c r="AC120" s="20">
        <v>0</v>
      </c>
      <c r="AD120" s="20">
        <v>0</v>
      </c>
      <c r="AE120" s="20">
        <v>0</v>
      </c>
      <c r="AF120" s="20">
        <v>0</v>
      </c>
      <c r="AG120" s="20">
        <v>0</v>
      </c>
      <c r="AH120" s="20">
        <v>0</v>
      </c>
      <c r="AI120" s="20">
        <v>0</v>
      </c>
      <c r="AJ120" s="20">
        <v>0</v>
      </c>
      <c r="AK120" s="20">
        <v>0</v>
      </c>
      <c r="AL120" s="20">
        <v>0</v>
      </c>
      <c r="AM120" s="20">
        <v>0</v>
      </c>
      <c r="AN120" s="20">
        <v>0</v>
      </c>
      <c r="AO120" s="20">
        <v>0</v>
      </c>
      <c r="AP120" s="20">
        <v>0</v>
      </c>
      <c r="AQ120" s="20">
        <v>0</v>
      </c>
      <c r="AR120" s="20">
        <v>0</v>
      </c>
      <c r="AS120" s="20">
        <v>0</v>
      </c>
      <c r="AT120" s="20">
        <v>0</v>
      </c>
      <c r="AU120" s="20">
        <v>0</v>
      </c>
      <c r="AV120" s="20">
        <v>0</v>
      </c>
      <c r="AW120" s="20">
        <v>0</v>
      </c>
      <c r="AX120" s="20">
        <v>0</v>
      </c>
      <c r="AY120" s="20">
        <v>0</v>
      </c>
      <c r="AZ120" s="20">
        <v>0</v>
      </c>
      <c r="BA120" s="20">
        <v>0</v>
      </c>
      <c r="BB120" s="20">
        <v>0</v>
      </c>
      <c r="BC120" s="20">
        <v>0</v>
      </c>
      <c r="BD120" s="20">
        <v>0</v>
      </c>
      <c r="BE120" s="20">
        <v>0</v>
      </c>
      <c r="BF120" s="20">
        <v>0</v>
      </c>
      <c r="BG120" s="20">
        <v>0</v>
      </c>
      <c r="BH120" s="20">
        <v>0</v>
      </c>
      <c r="BI120" s="20">
        <v>0</v>
      </c>
      <c r="BJ120" s="20">
        <v>0</v>
      </c>
      <c r="BK120" s="20">
        <v>0</v>
      </c>
      <c r="BL120" s="20">
        <v>0</v>
      </c>
      <c r="BM120" s="14"/>
    </row>
    <row r="121" spans="1:65" x14ac:dyDescent="0.25">
      <c r="A121" s="17" t="str">
        <v>Pigeon Mixes</v>
      </c>
      <c r="B121" s="17" t="str">
        <v>Fancy Super Mung</v>
      </c>
      <c r="C121" s="242">
        <f t="shared" si="1"/>
        <v>749.82749999999999</v>
      </c>
      <c r="D121" s="243">
        <f t="shared" si="0"/>
        <v>0.72798786407766991</v>
      </c>
      <c r="E121" s="20">
        <v>0</v>
      </c>
      <c r="F121" s="20">
        <v>0</v>
      </c>
      <c r="G121" s="20">
        <v>0</v>
      </c>
      <c r="H121" s="20">
        <v>0</v>
      </c>
      <c r="I121" s="20">
        <v>0</v>
      </c>
      <c r="J121" s="20">
        <v>0</v>
      </c>
      <c r="K121" s="20">
        <v>0</v>
      </c>
      <c r="L121" s="18">
        <v>0</v>
      </c>
      <c r="M121" s="18">
        <v>0</v>
      </c>
      <c r="N121" s="20">
        <v>0</v>
      </c>
      <c r="O121" s="20">
        <v>0</v>
      </c>
      <c r="P121" s="20">
        <v>0</v>
      </c>
      <c r="Q121" s="20">
        <v>88.2</v>
      </c>
      <c r="R121" s="20">
        <v>186.48</v>
      </c>
      <c r="S121" s="20">
        <v>133.77000000000001</v>
      </c>
      <c r="T121" s="20">
        <v>29.580000000000002</v>
      </c>
      <c r="U121" s="20">
        <v>0</v>
      </c>
      <c r="V121" s="20">
        <v>0</v>
      </c>
      <c r="W121" s="20">
        <v>0</v>
      </c>
      <c r="X121" s="20">
        <v>0</v>
      </c>
      <c r="Y121" s="20">
        <v>153.51</v>
      </c>
      <c r="Z121" s="20">
        <v>158.28749999999999</v>
      </c>
      <c r="AA121" s="20">
        <v>0</v>
      </c>
      <c r="AB121" s="20">
        <v>0</v>
      </c>
      <c r="AC121" s="20">
        <v>0</v>
      </c>
      <c r="AD121" s="20">
        <v>0</v>
      </c>
      <c r="AE121" s="20">
        <v>0</v>
      </c>
      <c r="AF121" s="20">
        <v>0</v>
      </c>
      <c r="AG121" s="20">
        <v>0</v>
      </c>
      <c r="AH121" s="20">
        <v>0</v>
      </c>
      <c r="AI121" s="20">
        <v>0</v>
      </c>
      <c r="AJ121" s="20">
        <v>0</v>
      </c>
      <c r="AK121" s="20">
        <v>0</v>
      </c>
      <c r="AL121" s="20">
        <v>0</v>
      </c>
      <c r="AM121" s="20">
        <v>0</v>
      </c>
      <c r="AN121" s="20">
        <v>0</v>
      </c>
      <c r="AO121" s="20">
        <v>0</v>
      </c>
      <c r="AP121" s="20">
        <v>0</v>
      </c>
      <c r="AQ121" s="20">
        <v>0</v>
      </c>
      <c r="AR121" s="20">
        <v>0</v>
      </c>
      <c r="AS121" s="20">
        <v>0</v>
      </c>
      <c r="AT121" s="20">
        <v>0</v>
      </c>
      <c r="AU121" s="20">
        <v>0</v>
      </c>
      <c r="AV121" s="20">
        <v>0</v>
      </c>
      <c r="AW121" s="20">
        <v>0</v>
      </c>
      <c r="AX121" s="20">
        <v>0</v>
      </c>
      <c r="AY121" s="20">
        <v>0</v>
      </c>
      <c r="AZ121" s="20">
        <v>0</v>
      </c>
      <c r="BA121" s="20">
        <v>0</v>
      </c>
      <c r="BB121" s="20">
        <v>0</v>
      </c>
      <c r="BC121" s="20">
        <v>0</v>
      </c>
      <c r="BD121" s="20">
        <v>0</v>
      </c>
      <c r="BE121" s="20">
        <v>0</v>
      </c>
      <c r="BF121" s="20">
        <v>0</v>
      </c>
      <c r="BG121" s="20">
        <v>0</v>
      </c>
      <c r="BH121" s="20">
        <v>0</v>
      </c>
      <c r="BI121" s="20">
        <v>0</v>
      </c>
      <c r="BJ121" s="20">
        <v>0</v>
      </c>
      <c r="BK121" s="20">
        <v>0</v>
      </c>
      <c r="BL121" s="20">
        <v>0</v>
      </c>
      <c r="BM121" s="14"/>
    </row>
    <row r="122" spans="1:65" x14ac:dyDescent="0.25">
      <c r="A122" s="17" t="str">
        <v>Pigeon Mixes</v>
      </c>
      <c r="B122" s="17" t="str">
        <v>Hi Carb</v>
      </c>
      <c r="C122" s="242">
        <f t="shared" si="1"/>
        <v>709.13549999999987</v>
      </c>
      <c r="D122" s="243">
        <f t="shared" si="0"/>
        <v>0.71993451776649731</v>
      </c>
      <c r="E122" s="20">
        <v>0</v>
      </c>
      <c r="F122" s="20">
        <v>0</v>
      </c>
      <c r="G122" s="20">
        <v>0</v>
      </c>
      <c r="H122" s="20">
        <v>0</v>
      </c>
      <c r="I122" s="20">
        <v>36.18</v>
      </c>
      <c r="J122" s="20">
        <v>0</v>
      </c>
      <c r="K122" s="20">
        <v>68.984999999999999</v>
      </c>
      <c r="L122" s="18">
        <v>0</v>
      </c>
      <c r="M122" s="18">
        <v>0</v>
      </c>
      <c r="N122" s="20">
        <v>0</v>
      </c>
      <c r="O122" s="20">
        <v>209.54250000000002</v>
      </c>
      <c r="P122" s="20">
        <v>0</v>
      </c>
      <c r="Q122" s="20">
        <v>0</v>
      </c>
      <c r="R122" s="20">
        <v>139.85999999999999</v>
      </c>
      <c r="S122" s="20">
        <v>76.44</v>
      </c>
      <c r="T122" s="20">
        <v>14.790000000000001</v>
      </c>
      <c r="U122" s="20">
        <v>0</v>
      </c>
      <c r="V122" s="20">
        <v>0</v>
      </c>
      <c r="W122" s="20">
        <v>0</v>
      </c>
      <c r="X122" s="20">
        <v>118.188</v>
      </c>
      <c r="Y122" s="20">
        <v>45.15</v>
      </c>
      <c r="Z122" s="20">
        <v>0</v>
      </c>
      <c r="AA122" s="20">
        <v>0</v>
      </c>
      <c r="AB122" s="20">
        <v>0</v>
      </c>
      <c r="AC122" s="20">
        <v>0</v>
      </c>
      <c r="AD122" s="20">
        <v>0</v>
      </c>
      <c r="AE122" s="20">
        <v>0</v>
      </c>
      <c r="AF122" s="20">
        <v>0</v>
      </c>
      <c r="AG122" s="20">
        <v>0</v>
      </c>
      <c r="AH122" s="20">
        <v>0</v>
      </c>
      <c r="AI122" s="20">
        <v>0</v>
      </c>
      <c r="AJ122" s="20">
        <v>0</v>
      </c>
      <c r="AK122" s="20">
        <v>0</v>
      </c>
      <c r="AL122" s="20">
        <v>0</v>
      </c>
      <c r="AM122" s="20">
        <v>0</v>
      </c>
      <c r="AN122" s="20">
        <v>0</v>
      </c>
      <c r="AO122" s="20">
        <v>0</v>
      </c>
      <c r="AP122" s="20">
        <v>0</v>
      </c>
      <c r="AQ122" s="20">
        <v>0</v>
      </c>
      <c r="AR122" s="20">
        <v>0</v>
      </c>
      <c r="AS122" s="20">
        <v>0</v>
      </c>
      <c r="AT122" s="20">
        <v>0</v>
      </c>
      <c r="AU122" s="20">
        <v>0</v>
      </c>
      <c r="AV122" s="20">
        <v>0</v>
      </c>
      <c r="AW122" s="20">
        <v>0</v>
      </c>
      <c r="AX122" s="20">
        <v>0</v>
      </c>
      <c r="AY122" s="20">
        <v>0</v>
      </c>
      <c r="AZ122" s="20">
        <v>0</v>
      </c>
      <c r="BA122" s="20">
        <v>0</v>
      </c>
      <c r="BB122" s="20">
        <v>0</v>
      </c>
      <c r="BC122" s="20">
        <v>0</v>
      </c>
      <c r="BD122" s="20">
        <v>0</v>
      </c>
      <c r="BE122" s="20">
        <v>0</v>
      </c>
      <c r="BF122" s="20">
        <v>0</v>
      </c>
      <c r="BG122" s="20">
        <v>0</v>
      </c>
      <c r="BH122" s="20">
        <v>0</v>
      </c>
      <c r="BI122" s="20">
        <v>0</v>
      </c>
      <c r="BJ122" s="20">
        <v>0</v>
      </c>
      <c r="BK122" s="20">
        <v>0</v>
      </c>
      <c r="BL122" s="20">
        <v>0</v>
      </c>
      <c r="BM122" s="14"/>
    </row>
    <row r="123" spans="1:65" x14ac:dyDescent="0.25">
      <c r="A123" s="17" t="str">
        <v>Pigeon Mixes</v>
      </c>
      <c r="B123" s="17" t="str">
        <v>Moulting</v>
      </c>
      <c r="C123" s="242">
        <f t="shared" si="1"/>
        <v>770.47262499999988</v>
      </c>
      <c r="D123" s="243">
        <f t="shared" si="0"/>
        <v>0.77047262499999991</v>
      </c>
      <c r="E123" s="20">
        <v>0</v>
      </c>
      <c r="F123" s="20">
        <v>0</v>
      </c>
      <c r="G123" s="20">
        <v>0</v>
      </c>
      <c r="H123" s="20">
        <v>216.09</v>
      </c>
      <c r="I123" s="20">
        <v>0</v>
      </c>
      <c r="J123" s="20">
        <v>51.249999999999993</v>
      </c>
      <c r="K123" s="20">
        <v>22.994999999999997</v>
      </c>
      <c r="L123" s="18">
        <v>0</v>
      </c>
      <c r="M123" s="18">
        <v>0</v>
      </c>
      <c r="N123" s="20">
        <v>0</v>
      </c>
      <c r="O123" s="20">
        <v>192.08062500000003</v>
      </c>
      <c r="P123" s="20">
        <v>0</v>
      </c>
      <c r="Q123" s="20">
        <v>0</v>
      </c>
      <c r="R123" s="20">
        <v>116.55</v>
      </c>
      <c r="S123" s="20">
        <v>47.774999999999999</v>
      </c>
      <c r="T123" s="20">
        <v>0</v>
      </c>
      <c r="U123" s="20">
        <v>0</v>
      </c>
      <c r="V123" s="20">
        <v>0</v>
      </c>
      <c r="W123" s="20">
        <v>42.462000000000003</v>
      </c>
      <c r="X123" s="20">
        <v>0</v>
      </c>
      <c r="Y123" s="20">
        <v>81.27</v>
      </c>
      <c r="Z123" s="20">
        <v>0</v>
      </c>
      <c r="AA123" s="20">
        <v>0</v>
      </c>
      <c r="AB123" s="20">
        <v>0</v>
      </c>
      <c r="AC123" s="20">
        <v>0</v>
      </c>
      <c r="AD123" s="20">
        <v>0</v>
      </c>
      <c r="AE123" s="20">
        <v>0</v>
      </c>
      <c r="AF123" s="20">
        <v>0</v>
      </c>
      <c r="AG123" s="20">
        <v>0</v>
      </c>
      <c r="AH123" s="20">
        <v>0</v>
      </c>
      <c r="AI123" s="20">
        <v>0</v>
      </c>
      <c r="AJ123" s="20">
        <v>0</v>
      </c>
      <c r="AK123" s="20">
        <v>0</v>
      </c>
      <c r="AL123" s="20">
        <v>0</v>
      </c>
      <c r="AM123" s="20">
        <v>0</v>
      </c>
      <c r="AN123" s="20">
        <v>0</v>
      </c>
      <c r="AO123" s="20">
        <v>0</v>
      </c>
      <c r="AP123" s="20">
        <v>0</v>
      </c>
      <c r="AQ123" s="20">
        <v>0</v>
      </c>
      <c r="AR123" s="20">
        <v>0</v>
      </c>
      <c r="AS123" s="20">
        <v>0</v>
      </c>
      <c r="AT123" s="20">
        <v>0</v>
      </c>
      <c r="AU123" s="20">
        <v>0</v>
      </c>
      <c r="AV123" s="20">
        <v>0</v>
      </c>
      <c r="AW123" s="20">
        <v>0</v>
      </c>
      <c r="AX123" s="20">
        <v>0</v>
      </c>
      <c r="AY123" s="20">
        <v>0</v>
      </c>
      <c r="AZ123" s="20">
        <v>0</v>
      </c>
      <c r="BA123" s="20">
        <v>0</v>
      </c>
      <c r="BB123" s="20">
        <v>0</v>
      </c>
      <c r="BC123" s="20">
        <v>0</v>
      </c>
      <c r="BD123" s="20">
        <v>0</v>
      </c>
      <c r="BE123" s="20">
        <v>0</v>
      </c>
      <c r="BF123" s="20">
        <v>0</v>
      </c>
      <c r="BG123" s="20">
        <v>0</v>
      </c>
      <c r="BH123" s="20">
        <v>0</v>
      </c>
      <c r="BI123" s="20">
        <v>0</v>
      </c>
      <c r="BJ123" s="20">
        <v>0</v>
      </c>
      <c r="BK123" s="20">
        <v>0</v>
      </c>
      <c r="BL123" s="20">
        <v>0</v>
      </c>
      <c r="BM123" s="14"/>
    </row>
    <row r="124" spans="1:65" x14ac:dyDescent="0.25">
      <c r="A124" s="17" t="str">
        <v>Pigeon Mixes</v>
      </c>
      <c r="B124" s="17" t="str">
        <v>NPM</v>
      </c>
      <c r="C124" s="242">
        <f t="shared" si="1"/>
        <v>559.43999999999994</v>
      </c>
      <c r="D124" s="243">
        <f t="shared" si="0"/>
        <v>0.55943999999999994</v>
      </c>
      <c r="E124" s="20">
        <v>0</v>
      </c>
      <c r="F124" s="20">
        <v>0</v>
      </c>
      <c r="G124" s="20">
        <v>0</v>
      </c>
      <c r="H124" s="20">
        <v>0</v>
      </c>
      <c r="I124" s="20">
        <v>0</v>
      </c>
      <c r="J124" s="20">
        <v>0</v>
      </c>
      <c r="K124" s="20">
        <v>76.649999999999991</v>
      </c>
      <c r="L124" s="18">
        <v>0</v>
      </c>
      <c r="M124" s="18">
        <v>0</v>
      </c>
      <c r="N124" s="20">
        <v>0</v>
      </c>
      <c r="O124" s="20">
        <v>0</v>
      </c>
      <c r="P124" s="20">
        <v>0</v>
      </c>
      <c r="Q124" s="20">
        <v>0</v>
      </c>
      <c r="R124" s="20">
        <v>186.48</v>
      </c>
      <c r="S124" s="20">
        <v>133.77000000000001</v>
      </c>
      <c r="T124" s="20">
        <v>0</v>
      </c>
      <c r="U124" s="20">
        <v>0</v>
      </c>
      <c r="V124" s="20">
        <v>0</v>
      </c>
      <c r="W124" s="20">
        <v>0</v>
      </c>
      <c r="X124" s="20">
        <v>0</v>
      </c>
      <c r="Y124" s="20">
        <v>162.54</v>
      </c>
      <c r="Z124" s="20">
        <v>0</v>
      </c>
      <c r="AA124" s="20">
        <v>0</v>
      </c>
      <c r="AB124" s="20">
        <v>0</v>
      </c>
      <c r="AC124" s="20">
        <v>0</v>
      </c>
      <c r="AD124" s="20">
        <v>0</v>
      </c>
      <c r="AE124" s="20">
        <v>0</v>
      </c>
      <c r="AF124" s="20">
        <v>0</v>
      </c>
      <c r="AG124" s="20">
        <v>0</v>
      </c>
      <c r="AH124" s="20">
        <v>0</v>
      </c>
      <c r="AI124" s="20">
        <v>0</v>
      </c>
      <c r="AJ124" s="20">
        <v>0</v>
      </c>
      <c r="AK124" s="20">
        <v>0</v>
      </c>
      <c r="AL124" s="20">
        <v>0</v>
      </c>
      <c r="AM124" s="20">
        <v>0</v>
      </c>
      <c r="AN124" s="20">
        <v>0</v>
      </c>
      <c r="AO124" s="20">
        <v>0</v>
      </c>
      <c r="AP124" s="20">
        <v>0</v>
      </c>
      <c r="AQ124" s="20">
        <v>0</v>
      </c>
      <c r="AR124" s="20">
        <v>0</v>
      </c>
      <c r="AS124" s="20">
        <v>0</v>
      </c>
      <c r="AT124" s="20">
        <v>0</v>
      </c>
      <c r="AU124" s="20">
        <v>0</v>
      </c>
      <c r="AV124" s="20">
        <v>0</v>
      </c>
      <c r="AW124" s="20">
        <v>0</v>
      </c>
      <c r="AX124" s="20">
        <v>0</v>
      </c>
      <c r="AY124" s="20">
        <v>0</v>
      </c>
      <c r="AZ124" s="20">
        <v>0</v>
      </c>
      <c r="BA124" s="20">
        <v>0</v>
      </c>
      <c r="BB124" s="20">
        <v>0</v>
      </c>
      <c r="BC124" s="20">
        <v>0</v>
      </c>
      <c r="BD124" s="20">
        <v>0</v>
      </c>
      <c r="BE124" s="20">
        <v>0</v>
      </c>
      <c r="BF124" s="20">
        <v>0</v>
      </c>
      <c r="BG124" s="20">
        <v>0</v>
      </c>
      <c r="BH124" s="20">
        <v>0</v>
      </c>
      <c r="BI124" s="20">
        <v>0</v>
      </c>
      <c r="BJ124" s="20">
        <v>0</v>
      </c>
      <c r="BK124" s="20">
        <v>0</v>
      </c>
      <c r="BL124" s="20">
        <v>0</v>
      </c>
      <c r="BM124" s="14"/>
    </row>
    <row r="125" spans="1:65" x14ac:dyDescent="0.25">
      <c r="A125" s="17" t="str">
        <v>Pigeon Mixes</v>
      </c>
      <c r="B125" s="17" t="str">
        <v>NPM Popcorn</v>
      </c>
      <c r="C125" s="242">
        <f t="shared" si="1"/>
        <v>659.18999999999994</v>
      </c>
      <c r="D125" s="243">
        <f t="shared" si="0"/>
        <v>0.65918999999999994</v>
      </c>
      <c r="E125" s="20">
        <v>0</v>
      </c>
      <c r="F125" s="20">
        <v>0</v>
      </c>
      <c r="G125" s="20">
        <v>0</v>
      </c>
      <c r="H125" s="20">
        <v>0</v>
      </c>
      <c r="I125" s="20">
        <v>0</v>
      </c>
      <c r="J125" s="20">
        <v>0</v>
      </c>
      <c r="K125" s="20">
        <v>0</v>
      </c>
      <c r="L125" s="18">
        <v>0</v>
      </c>
      <c r="M125" s="18">
        <v>0</v>
      </c>
      <c r="N125" s="20">
        <v>0</v>
      </c>
      <c r="O125" s="20">
        <v>0</v>
      </c>
      <c r="P125" s="20">
        <v>0</v>
      </c>
      <c r="Q125" s="20">
        <v>176.4</v>
      </c>
      <c r="R125" s="20">
        <v>186.48</v>
      </c>
      <c r="S125" s="20">
        <v>133.77000000000001</v>
      </c>
      <c r="T125" s="20">
        <v>0</v>
      </c>
      <c r="U125" s="20">
        <v>0</v>
      </c>
      <c r="V125" s="20">
        <v>0</v>
      </c>
      <c r="W125" s="20">
        <v>0</v>
      </c>
      <c r="X125" s="20">
        <v>0</v>
      </c>
      <c r="Y125" s="20">
        <v>162.54</v>
      </c>
      <c r="Z125" s="20">
        <v>0</v>
      </c>
      <c r="AA125" s="20">
        <v>0</v>
      </c>
      <c r="AB125" s="20">
        <v>0</v>
      </c>
      <c r="AC125" s="20">
        <v>0</v>
      </c>
      <c r="AD125" s="20">
        <v>0</v>
      </c>
      <c r="AE125" s="20">
        <v>0</v>
      </c>
      <c r="AF125" s="20">
        <v>0</v>
      </c>
      <c r="AG125" s="20">
        <v>0</v>
      </c>
      <c r="AH125" s="20">
        <v>0</v>
      </c>
      <c r="AI125" s="20">
        <v>0</v>
      </c>
      <c r="AJ125" s="20">
        <v>0</v>
      </c>
      <c r="AK125" s="20">
        <v>0</v>
      </c>
      <c r="AL125" s="20">
        <v>0</v>
      </c>
      <c r="AM125" s="20">
        <v>0</v>
      </c>
      <c r="AN125" s="20">
        <v>0</v>
      </c>
      <c r="AO125" s="20">
        <v>0</v>
      </c>
      <c r="AP125" s="20">
        <v>0</v>
      </c>
      <c r="AQ125" s="20">
        <v>0</v>
      </c>
      <c r="AR125" s="20">
        <v>0</v>
      </c>
      <c r="AS125" s="20">
        <v>0</v>
      </c>
      <c r="AT125" s="20">
        <v>0</v>
      </c>
      <c r="AU125" s="20">
        <v>0</v>
      </c>
      <c r="AV125" s="20">
        <v>0</v>
      </c>
      <c r="AW125" s="20">
        <v>0</v>
      </c>
      <c r="AX125" s="20">
        <v>0</v>
      </c>
      <c r="AY125" s="20">
        <v>0</v>
      </c>
      <c r="AZ125" s="20">
        <v>0</v>
      </c>
      <c r="BA125" s="20">
        <v>0</v>
      </c>
      <c r="BB125" s="20">
        <v>0</v>
      </c>
      <c r="BC125" s="20">
        <v>0</v>
      </c>
      <c r="BD125" s="20">
        <v>0</v>
      </c>
      <c r="BE125" s="20">
        <v>0</v>
      </c>
      <c r="BF125" s="20">
        <v>0</v>
      </c>
      <c r="BG125" s="20">
        <v>0</v>
      </c>
      <c r="BH125" s="20">
        <v>0</v>
      </c>
      <c r="BI125" s="20">
        <v>0</v>
      </c>
      <c r="BJ125" s="20">
        <v>0</v>
      </c>
      <c r="BK125" s="20">
        <v>0</v>
      </c>
      <c r="BL125" s="20">
        <v>0</v>
      </c>
      <c r="BM125" s="14"/>
    </row>
    <row r="126" spans="1:65" x14ac:dyDescent="0.25">
      <c r="A126" s="17" t="str">
        <v>Pigeon Mixes</v>
      </c>
      <c r="B126" s="17" t="str">
        <v>Race</v>
      </c>
      <c r="C126" s="242">
        <f t="shared" si="1"/>
        <v>659.05124999999998</v>
      </c>
      <c r="D126" s="243">
        <f t="shared" si="0"/>
        <v>0.65252599009900991</v>
      </c>
      <c r="E126" s="20">
        <v>0</v>
      </c>
      <c r="F126" s="20">
        <v>0</v>
      </c>
      <c r="G126" s="20">
        <v>0</v>
      </c>
      <c r="H126" s="20">
        <v>0</v>
      </c>
      <c r="I126" s="20">
        <v>0</v>
      </c>
      <c r="J126" s="20">
        <v>0</v>
      </c>
      <c r="K126" s="20">
        <v>38.324999999999996</v>
      </c>
      <c r="L126" s="18">
        <v>0</v>
      </c>
      <c r="M126" s="18">
        <v>0</v>
      </c>
      <c r="N126" s="20">
        <v>0</v>
      </c>
      <c r="O126" s="20">
        <v>384.16125000000005</v>
      </c>
      <c r="P126" s="20">
        <v>0</v>
      </c>
      <c r="Q126" s="20">
        <v>0</v>
      </c>
      <c r="R126" s="20">
        <v>116.55</v>
      </c>
      <c r="S126" s="20">
        <v>47.774999999999999</v>
      </c>
      <c r="T126" s="20">
        <v>0</v>
      </c>
      <c r="U126" s="20">
        <v>0</v>
      </c>
      <c r="V126" s="20">
        <v>0</v>
      </c>
      <c r="W126" s="20">
        <v>0</v>
      </c>
      <c r="X126" s="20">
        <v>0</v>
      </c>
      <c r="Y126" s="20">
        <v>72.240000000000009</v>
      </c>
      <c r="Z126" s="20">
        <v>0</v>
      </c>
      <c r="AA126" s="20">
        <v>0</v>
      </c>
      <c r="AB126" s="20">
        <v>0</v>
      </c>
      <c r="AC126" s="20">
        <v>0</v>
      </c>
      <c r="AD126" s="20">
        <v>0</v>
      </c>
      <c r="AE126" s="20">
        <v>0</v>
      </c>
      <c r="AF126" s="20">
        <v>0</v>
      </c>
      <c r="AG126" s="20">
        <v>0</v>
      </c>
      <c r="AH126" s="20">
        <v>0</v>
      </c>
      <c r="AI126" s="20">
        <v>0</v>
      </c>
      <c r="AJ126" s="20">
        <v>0</v>
      </c>
      <c r="AK126" s="20">
        <v>0</v>
      </c>
      <c r="AL126" s="20">
        <v>0</v>
      </c>
      <c r="AM126" s="20">
        <v>0</v>
      </c>
      <c r="AN126" s="20">
        <v>0</v>
      </c>
      <c r="AO126" s="20">
        <v>0</v>
      </c>
      <c r="AP126" s="20">
        <v>0</v>
      </c>
      <c r="AQ126" s="20">
        <v>0</v>
      </c>
      <c r="AR126" s="20">
        <v>0</v>
      </c>
      <c r="AS126" s="20">
        <v>0</v>
      </c>
      <c r="AT126" s="20">
        <v>0</v>
      </c>
      <c r="AU126" s="20">
        <v>0</v>
      </c>
      <c r="AV126" s="20">
        <v>0</v>
      </c>
      <c r="AW126" s="20">
        <v>0</v>
      </c>
      <c r="AX126" s="20">
        <v>0</v>
      </c>
      <c r="AY126" s="20">
        <v>0</v>
      </c>
      <c r="AZ126" s="20">
        <v>0</v>
      </c>
      <c r="BA126" s="20">
        <v>0</v>
      </c>
      <c r="BB126" s="20">
        <v>0</v>
      </c>
      <c r="BC126" s="20">
        <v>0</v>
      </c>
      <c r="BD126" s="20">
        <v>0</v>
      </c>
      <c r="BE126" s="20">
        <v>0</v>
      </c>
      <c r="BF126" s="20">
        <v>0</v>
      </c>
      <c r="BG126" s="20">
        <v>0</v>
      </c>
      <c r="BH126" s="20">
        <v>0</v>
      </c>
      <c r="BI126" s="20">
        <v>0</v>
      </c>
      <c r="BJ126" s="20">
        <v>0</v>
      </c>
      <c r="BK126" s="20">
        <v>0</v>
      </c>
      <c r="BL126" s="20">
        <v>0</v>
      </c>
      <c r="BM126" s="14"/>
    </row>
    <row r="127" spans="1:65" x14ac:dyDescent="0.25">
      <c r="A127" s="17" t="str">
        <v>Pigeon Mixes</v>
      </c>
      <c r="B127" s="17" t="str">
        <v xml:space="preserve">Race Popcorn </v>
      </c>
      <c r="C127" s="242">
        <f t="shared" si="1"/>
        <v>708.92624999999998</v>
      </c>
      <c r="D127" s="243">
        <f t="shared" si="0"/>
        <v>0.70190717821782178</v>
      </c>
      <c r="E127" s="20">
        <v>0</v>
      </c>
      <c r="F127" s="20">
        <v>0</v>
      </c>
      <c r="G127" s="20">
        <v>0</v>
      </c>
      <c r="H127" s="20">
        <v>0</v>
      </c>
      <c r="I127" s="20">
        <v>0</v>
      </c>
      <c r="J127" s="20">
        <v>0</v>
      </c>
      <c r="K127" s="20">
        <v>0</v>
      </c>
      <c r="L127" s="18">
        <v>0</v>
      </c>
      <c r="M127" s="18">
        <v>0</v>
      </c>
      <c r="N127" s="20">
        <v>0</v>
      </c>
      <c r="O127" s="20">
        <v>384.16125000000005</v>
      </c>
      <c r="P127" s="20">
        <v>0</v>
      </c>
      <c r="Q127" s="20">
        <v>88.2</v>
      </c>
      <c r="R127" s="20">
        <v>116.55</v>
      </c>
      <c r="S127" s="20">
        <v>47.774999999999999</v>
      </c>
      <c r="T127" s="20">
        <v>0</v>
      </c>
      <c r="U127" s="20">
        <v>0</v>
      </c>
      <c r="V127" s="20">
        <v>0</v>
      </c>
      <c r="W127" s="20">
        <v>0</v>
      </c>
      <c r="X127" s="20">
        <v>0</v>
      </c>
      <c r="Y127" s="20">
        <v>72.240000000000009</v>
      </c>
      <c r="Z127" s="20">
        <v>0</v>
      </c>
      <c r="AA127" s="20">
        <v>0</v>
      </c>
      <c r="AB127" s="20">
        <v>0</v>
      </c>
      <c r="AC127" s="20">
        <v>0</v>
      </c>
      <c r="AD127" s="20">
        <v>0</v>
      </c>
      <c r="AE127" s="20">
        <v>0</v>
      </c>
      <c r="AF127" s="20">
        <v>0</v>
      </c>
      <c r="AG127" s="20">
        <v>0</v>
      </c>
      <c r="AH127" s="20">
        <v>0</v>
      </c>
      <c r="AI127" s="20">
        <v>0</v>
      </c>
      <c r="AJ127" s="20">
        <v>0</v>
      </c>
      <c r="AK127" s="20">
        <v>0</v>
      </c>
      <c r="AL127" s="20">
        <v>0</v>
      </c>
      <c r="AM127" s="20">
        <v>0</v>
      </c>
      <c r="AN127" s="20">
        <v>0</v>
      </c>
      <c r="AO127" s="20">
        <v>0</v>
      </c>
      <c r="AP127" s="20">
        <v>0</v>
      </c>
      <c r="AQ127" s="20">
        <v>0</v>
      </c>
      <c r="AR127" s="20">
        <v>0</v>
      </c>
      <c r="AS127" s="20">
        <v>0</v>
      </c>
      <c r="AT127" s="20">
        <v>0</v>
      </c>
      <c r="AU127" s="20">
        <v>0</v>
      </c>
      <c r="AV127" s="20">
        <v>0</v>
      </c>
      <c r="AW127" s="20">
        <v>0</v>
      </c>
      <c r="AX127" s="20">
        <v>0</v>
      </c>
      <c r="AY127" s="20">
        <v>0</v>
      </c>
      <c r="AZ127" s="20">
        <v>0</v>
      </c>
      <c r="BA127" s="20">
        <v>0</v>
      </c>
      <c r="BB127" s="20">
        <v>0</v>
      </c>
      <c r="BC127" s="20">
        <v>0</v>
      </c>
      <c r="BD127" s="20">
        <v>0</v>
      </c>
      <c r="BE127" s="20">
        <v>0</v>
      </c>
      <c r="BF127" s="20">
        <v>0</v>
      </c>
      <c r="BG127" s="20">
        <v>0</v>
      </c>
      <c r="BH127" s="20">
        <v>0</v>
      </c>
      <c r="BI127" s="20">
        <v>0</v>
      </c>
      <c r="BJ127" s="20">
        <v>0</v>
      </c>
      <c r="BK127" s="20">
        <v>0</v>
      </c>
      <c r="BL127" s="20">
        <v>0</v>
      </c>
      <c r="BM127" s="14"/>
    </row>
    <row r="128" spans="1:65" x14ac:dyDescent="0.25">
      <c r="A128" s="17" t="str">
        <v>Pigeon Mixes</v>
      </c>
      <c r="B128" s="17" t="str">
        <v>Rods Pigeon Maize</v>
      </c>
      <c r="C128" s="242">
        <f t="shared" si="1"/>
        <v>468.35924999999997</v>
      </c>
      <c r="D128" s="243">
        <f t="shared" si="0"/>
        <v>0.4336659722222222</v>
      </c>
      <c r="E128" s="20">
        <v>0</v>
      </c>
      <c r="F128" s="20">
        <v>0</v>
      </c>
      <c r="G128" s="20">
        <v>0</v>
      </c>
      <c r="H128" s="20">
        <v>0</v>
      </c>
      <c r="I128" s="20">
        <v>0</v>
      </c>
      <c r="J128" s="20">
        <v>0</v>
      </c>
      <c r="K128" s="20">
        <v>26.827499999999997</v>
      </c>
      <c r="L128" s="18">
        <v>0</v>
      </c>
      <c r="M128" s="18">
        <v>0</v>
      </c>
      <c r="N128" s="20">
        <v>0</v>
      </c>
      <c r="O128" s="20">
        <v>20.954250000000002</v>
      </c>
      <c r="P128" s="20">
        <v>0</v>
      </c>
      <c r="Q128" s="20">
        <v>0</v>
      </c>
      <c r="R128" s="20">
        <v>34.964999999999996</v>
      </c>
      <c r="S128" s="20">
        <v>143.32499999999999</v>
      </c>
      <c r="T128" s="20">
        <v>0</v>
      </c>
      <c r="U128" s="20">
        <v>242.28750000000002</v>
      </c>
      <c r="V128" s="20">
        <v>0</v>
      </c>
      <c r="W128" s="20">
        <v>0</v>
      </c>
      <c r="X128" s="20">
        <v>0</v>
      </c>
      <c r="Y128" s="20">
        <v>0</v>
      </c>
      <c r="Z128" s="20">
        <v>0</v>
      </c>
      <c r="AA128" s="20">
        <v>0</v>
      </c>
      <c r="AB128" s="20">
        <v>0</v>
      </c>
      <c r="AC128" s="20">
        <v>0</v>
      </c>
      <c r="AD128" s="20">
        <v>0</v>
      </c>
      <c r="AE128" s="20">
        <v>0</v>
      </c>
      <c r="AF128" s="20">
        <v>0</v>
      </c>
      <c r="AG128" s="20">
        <v>0</v>
      </c>
      <c r="AH128" s="20">
        <v>0</v>
      </c>
      <c r="AI128" s="20">
        <v>0</v>
      </c>
      <c r="AJ128" s="20">
        <v>0</v>
      </c>
      <c r="AK128" s="20">
        <v>0</v>
      </c>
      <c r="AL128" s="20">
        <v>0</v>
      </c>
      <c r="AM128" s="20">
        <v>0</v>
      </c>
      <c r="AN128" s="20">
        <v>0</v>
      </c>
      <c r="AO128" s="20">
        <v>0</v>
      </c>
      <c r="AP128" s="20">
        <v>0</v>
      </c>
      <c r="AQ128" s="20">
        <v>0</v>
      </c>
      <c r="AR128" s="20">
        <v>0</v>
      </c>
      <c r="AS128" s="20">
        <v>0</v>
      </c>
      <c r="AT128" s="20">
        <v>0</v>
      </c>
      <c r="AU128" s="20">
        <v>0</v>
      </c>
      <c r="AV128" s="20">
        <v>0</v>
      </c>
      <c r="AW128" s="20">
        <v>0</v>
      </c>
      <c r="AX128" s="20">
        <v>0</v>
      </c>
      <c r="AY128" s="20">
        <v>0</v>
      </c>
      <c r="AZ128" s="20">
        <v>0</v>
      </c>
      <c r="BA128" s="20">
        <v>0</v>
      </c>
      <c r="BB128" s="20">
        <v>0</v>
      </c>
      <c r="BC128" s="20">
        <v>0</v>
      </c>
      <c r="BD128" s="20">
        <v>0</v>
      </c>
      <c r="BE128" s="20">
        <v>0</v>
      </c>
      <c r="BF128" s="20">
        <v>0</v>
      </c>
      <c r="BG128" s="20">
        <v>0</v>
      </c>
      <c r="BH128" s="20">
        <v>0</v>
      </c>
      <c r="BI128" s="20">
        <v>0</v>
      </c>
      <c r="BJ128" s="20">
        <v>0</v>
      </c>
      <c r="BK128" s="20">
        <v>0</v>
      </c>
      <c r="BL128" s="20">
        <v>0</v>
      </c>
      <c r="BM128" s="14"/>
    </row>
    <row r="129" spans="1:65" x14ac:dyDescent="0.25">
      <c r="A129" s="17" t="str">
        <v>Pigeon Mixes</v>
      </c>
      <c r="B129" s="17" t="str">
        <v>Rods Pigeon Popcorn</v>
      </c>
      <c r="C129" s="242">
        <f t="shared" si="1"/>
        <v>503.27175</v>
      </c>
      <c r="D129" s="243">
        <f t="shared" si="0"/>
        <v>0.46599236111111109</v>
      </c>
      <c r="E129" s="20">
        <v>0</v>
      </c>
      <c r="F129" s="20">
        <v>0</v>
      </c>
      <c r="G129" s="20">
        <v>0</v>
      </c>
      <c r="H129" s="20">
        <v>0</v>
      </c>
      <c r="I129" s="20">
        <v>0</v>
      </c>
      <c r="J129" s="20">
        <v>0</v>
      </c>
      <c r="K129" s="20">
        <v>0</v>
      </c>
      <c r="L129" s="18">
        <v>0</v>
      </c>
      <c r="M129" s="18">
        <v>0</v>
      </c>
      <c r="N129" s="20">
        <v>0</v>
      </c>
      <c r="O129" s="20">
        <v>20.954250000000002</v>
      </c>
      <c r="P129" s="20">
        <v>0</v>
      </c>
      <c r="Q129" s="20">
        <v>61.74</v>
      </c>
      <c r="R129" s="20">
        <v>34.964999999999996</v>
      </c>
      <c r="S129" s="20">
        <v>143.32499999999999</v>
      </c>
      <c r="T129" s="20">
        <v>0</v>
      </c>
      <c r="U129" s="20">
        <v>242.28750000000002</v>
      </c>
      <c r="V129" s="20">
        <v>0</v>
      </c>
      <c r="W129" s="20">
        <v>0</v>
      </c>
      <c r="X129" s="20">
        <v>0</v>
      </c>
      <c r="Y129" s="20">
        <v>0</v>
      </c>
      <c r="Z129" s="20">
        <v>0</v>
      </c>
      <c r="AA129" s="20">
        <v>0</v>
      </c>
      <c r="AB129" s="20">
        <v>0</v>
      </c>
      <c r="AC129" s="20">
        <v>0</v>
      </c>
      <c r="AD129" s="20">
        <v>0</v>
      </c>
      <c r="AE129" s="20">
        <v>0</v>
      </c>
      <c r="AF129" s="20">
        <v>0</v>
      </c>
      <c r="AG129" s="20">
        <v>0</v>
      </c>
      <c r="AH129" s="20">
        <v>0</v>
      </c>
      <c r="AI129" s="20">
        <v>0</v>
      </c>
      <c r="AJ129" s="20">
        <v>0</v>
      </c>
      <c r="AK129" s="20">
        <v>0</v>
      </c>
      <c r="AL129" s="20">
        <v>0</v>
      </c>
      <c r="AM129" s="20">
        <v>0</v>
      </c>
      <c r="AN129" s="20">
        <v>0</v>
      </c>
      <c r="AO129" s="20">
        <v>0</v>
      </c>
      <c r="AP129" s="20">
        <v>0</v>
      </c>
      <c r="AQ129" s="20">
        <v>0</v>
      </c>
      <c r="AR129" s="20">
        <v>0</v>
      </c>
      <c r="AS129" s="20">
        <v>0</v>
      </c>
      <c r="AT129" s="20">
        <v>0</v>
      </c>
      <c r="AU129" s="20">
        <v>0</v>
      </c>
      <c r="AV129" s="20">
        <v>0</v>
      </c>
      <c r="AW129" s="20">
        <v>0</v>
      </c>
      <c r="AX129" s="20">
        <v>0</v>
      </c>
      <c r="AY129" s="20">
        <v>0</v>
      </c>
      <c r="AZ129" s="20">
        <v>0</v>
      </c>
      <c r="BA129" s="20">
        <v>0</v>
      </c>
      <c r="BB129" s="20">
        <v>0</v>
      </c>
      <c r="BC129" s="20">
        <v>0</v>
      </c>
      <c r="BD129" s="20">
        <v>0</v>
      </c>
      <c r="BE129" s="20">
        <v>0</v>
      </c>
      <c r="BF129" s="20">
        <v>0</v>
      </c>
      <c r="BG129" s="20">
        <v>0</v>
      </c>
      <c r="BH129" s="20">
        <v>0</v>
      </c>
      <c r="BI129" s="20">
        <v>0</v>
      </c>
      <c r="BJ129" s="20">
        <v>0</v>
      </c>
      <c r="BK129" s="20">
        <v>0</v>
      </c>
      <c r="BL129" s="20">
        <v>0</v>
      </c>
      <c r="BM129" s="14"/>
    </row>
    <row r="130" spans="1:65" x14ac:dyDescent="0.25">
      <c r="A130" s="17" t="str">
        <v>Pigeon Mixes</v>
      </c>
      <c r="B130" s="17" t="str">
        <v>Sprint</v>
      </c>
      <c r="C130" s="242">
        <f t="shared" si="1"/>
        <v>818.18599999999992</v>
      </c>
      <c r="D130" s="243">
        <f t="shared" si="0"/>
        <v>0.80609458128078815</v>
      </c>
      <c r="E130" s="20">
        <v>0</v>
      </c>
      <c r="F130" s="20">
        <v>0</v>
      </c>
      <c r="G130" s="20">
        <v>0</v>
      </c>
      <c r="H130" s="20">
        <v>30.87</v>
      </c>
      <c r="I130" s="20">
        <v>54.269999999999996</v>
      </c>
      <c r="J130" s="20">
        <v>41</v>
      </c>
      <c r="K130" s="20">
        <v>0</v>
      </c>
      <c r="L130" s="18">
        <v>0</v>
      </c>
      <c r="M130" s="18">
        <v>0</v>
      </c>
      <c r="N130" s="20">
        <v>0</v>
      </c>
      <c r="O130" s="20">
        <v>279.39000000000004</v>
      </c>
      <c r="P130" s="20">
        <v>16.59</v>
      </c>
      <c r="Q130" s="20">
        <v>88.2</v>
      </c>
      <c r="R130" s="20">
        <v>69.929999999999993</v>
      </c>
      <c r="S130" s="20">
        <v>47.774999999999999</v>
      </c>
      <c r="T130" s="20">
        <v>14.790000000000001</v>
      </c>
      <c r="U130" s="20">
        <v>0</v>
      </c>
      <c r="V130" s="20">
        <v>10.5</v>
      </c>
      <c r="W130" s="20">
        <v>21.231000000000002</v>
      </c>
      <c r="X130" s="20">
        <v>98.49</v>
      </c>
      <c r="Y130" s="20">
        <v>45.15</v>
      </c>
      <c r="Z130" s="20">
        <v>0</v>
      </c>
      <c r="AA130" s="20">
        <v>0</v>
      </c>
      <c r="AB130" s="20">
        <v>0</v>
      </c>
      <c r="AC130" s="20">
        <v>0</v>
      </c>
      <c r="AD130" s="20">
        <v>0</v>
      </c>
      <c r="AE130" s="20">
        <v>0</v>
      </c>
      <c r="AF130" s="20">
        <v>0</v>
      </c>
      <c r="AG130" s="20">
        <v>0</v>
      </c>
      <c r="AH130" s="20">
        <v>0</v>
      </c>
      <c r="AI130" s="20">
        <v>0</v>
      </c>
      <c r="AJ130" s="20">
        <v>0</v>
      </c>
      <c r="AK130" s="20">
        <v>0</v>
      </c>
      <c r="AL130" s="20">
        <v>0</v>
      </c>
      <c r="AM130" s="20">
        <v>0</v>
      </c>
      <c r="AN130" s="20">
        <v>0</v>
      </c>
      <c r="AO130" s="20">
        <v>0</v>
      </c>
      <c r="AP130" s="20">
        <v>0</v>
      </c>
      <c r="AQ130" s="20">
        <v>0</v>
      </c>
      <c r="AR130" s="20">
        <v>0</v>
      </c>
      <c r="AS130" s="20">
        <v>0</v>
      </c>
      <c r="AT130" s="20">
        <v>0</v>
      </c>
      <c r="AU130" s="20">
        <v>0</v>
      </c>
      <c r="AV130" s="20">
        <v>0</v>
      </c>
      <c r="AW130" s="20">
        <v>0</v>
      </c>
      <c r="AX130" s="20">
        <v>0</v>
      </c>
      <c r="AY130" s="20">
        <v>0</v>
      </c>
      <c r="AZ130" s="20">
        <v>0</v>
      </c>
      <c r="BA130" s="20">
        <v>0</v>
      </c>
      <c r="BB130" s="20">
        <v>0</v>
      </c>
      <c r="BC130" s="20">
        <v>0</v>
      </c>
      <c r="BD130" s="20">
        <v>0</v>
      </c>
      <c r="BE130" s="20">
        <v>0</v>
      </c>
      <c r="BF130" s="20">
        <v>0</v>
      </c>
      <c r="BG130" s="20">
        <v>0</v>
      </c>
      <c r="BH130" s="20">
        <v>0</v>
      </c>
      <c r="BI130" s="20">
        <v>0</v>
      </c>
      <c r="BJ130" s="20">
        <v>0</v>
      </c>
      <c r="BK130" s="20">
        <v>0</v>
      </c>
      <c r="BL130" s="20">
        <v>0</v>
      </c>
      <c r="BM130" s="14"/>
    </row>
    <row r="131" spans="1:65" x14ac:dyDescent="0.25">
      <c r="A131" s="17" t="str">
        <v>Pigeon Mixes</v>
      </c>
      <c r="B131" s="17" t="str">
        <v>Stock Mix</v>
      </c>
      <c r="C131" s="242">
        <f t="shared" si="1"/>
        <v>468.35924999999997</v>
      </c>
      <c r="D131" s="243">
        <f t="shared" si="0"/>
        <v>0.4336659722222222</v>
      </c>
      <c r="E131" s="20">
        <v>0</v>
      </c>
      <c r="F131" s="20">
        <v>0</v>
      </c>
      <c r="G131" s="20">
        <v>0</v>
      </c>
      <c r="H131" s="20">
        <v>0</v>
      </c>
      <c r="I131" s="20">
        <v>0</v>
      </c>
      <c r="J131" s="20">
        <v>0</v>
      </c>
      <c r="K131" s="20">
        <v>26.827499999999997</v>
      </c>
      <c r="L131" s="18">
        <v>0</v>
      </c>
      <c r="M131" s="18">
        <v>0</v>
      </c>
      <c r="N131" s="20">
        <v>0</v>
      </c>
      <c r="O131" s="20">
        <v>20.954250000000002</v>
      </c>
      <c r="P131" s="20">
        <v>0</v>
      </c>
      <c r="Q131" s="20">
        <v>0</v>
      </c>
      <c r="R131" s="20">
        <v>34.964999999999996</v>
      </c>
      <c r="S131" s="20">
        <v>143.32499999999999</v>
      </c>
      <c r="T131" s="20">
        <v>0</v>
      </c>
      <c r="U131" s="20">
        <v>242.28750000000002</v>
      </c>
      <c r="V131" s="20">
        <v>0</v>
      </c>
      <c r="W131" s="20">
        <v>0</v>
      </c>
      <c r="X131" s="20">
        <v>0</v>
      </c>
      <c r="Y131" s="20">
        <v>0</v>
      </c>
      <c r="Z131" s="20">
        <v>0</v>
      </c>
      <c r="AA131" s="20">
        <v>0</v>
      </c>
      <c r="AB131" s="20">
        <v>0</v>
      </c>
      <c r="AC131" s="20">
        <v>0</v>
      </c>
      <c r="AD131" s="20">
        <v>0</v>
      </c>
      <c r="AE131" s="20">
        <v>0</v>
      </c>
      <c r="AF131" s="20">
        <v>0</v>
      </c>
      <c r="AG131" s="20">
        <v>0</v>
      </c>
      <c r="AH131" s="20">
        <v>0</v>
      </c>
      <c r="AI131" s="20">
        <v>0</v>
      </c>
      <c r="AJ131" s="20">
        <v>0</v>
      </c>
      <c r="AK131" s="20">
        <v>0</v>
      </c>
      <c r="AL131" s="20">
        <v>0</v>
      </c>
      <c r="AM131" s="20">
        <v>0</v>
      </c>
      <c r="AN131" s="20">
        <v>0</v>
      </c>
      <c r="AO131" s="20">
        <v>0</v>
      </c>
      <c r="AP131" s="20">
        <v>0</v>
      </c>
      <c r="AQ131" s="20">
        <v>0</v>
      </c>
      <c r="AR131" s="20">
        <v>0</v>
      </c>
      <c r="AS131" s="20">
        <v>0</v>
      </c>
      <c r="AT131" s="20">
        <v>0</v>
      </c>
      <c r="AU131" s="20">
        <v>0</v>
      </c>
      <c r="AV131" s="20">
        <v>0</v>
      </c>
      <c r="AW131" s="20">
        <v>0</v>
      </c>
      <c r="AX131" s="20">
        <v>0</v>
      </c>
      <c r="AY131" s="20">
        <v>0</v>
      </c>
      <c r="AZ131" s="20">
        <v>0</v>
      </c>
      <c r="BA131" s="20">
        <v>0</v>
      </c>
      <c r="BB131" s="20">
        <v>0</v>
      </c>
      <c r="BC131" s="20">
        <v>0</v>
      </c>
      <c r="BD131" s="20">
        <v>0</v>
      </c>
      <c r="BE131" s="20">
        <v>0</v>
      </c>
      <c r="BF131" s="20">
        <v>0</v>
      </c>
      <c r="BG131" s="20">
        <v>0</v>
      </c>
      <c r="BH131" s="20">
        <v>0</v>
      </c>
      <c r="BI131" s="20">
        <v>0</v>
      </c>
      <c r="BJ131" s="20">
        <v>0</v>
      </c>
      <c r="BK131" s="20">
        <v>0</v>
      </c>
      <c r="BL131" s="20">
        <v>0</v>
      </c>
      <c r="BM131" s="14"/>
    </row>
    <row r="132" spans="1:65" x14ac:dyDescent="0.25">
      <c r="A132" s="17" t="str">
        <v>Pigeon Mixes</v>
      </c>
      <c r="B132" s="17" t="str">
        <v>Syd Hi Carb</v>
      </c>
      <c r="C132" s="242">
        <f t="shared" ref="C132:C164" si="2">SUM(E132:BX132)</f>
        <v>649.97512499999993</v>
      </c>
      <c r="D132" s="243">
        <f t="shared" ref="D132:D163" si="3">C132/VLOOKUP(B132,$B$2:$BK$93,2,FALSE)</f>
        <v>0.61609016587677723</v>
      </c>
      <c r="E132" s="20">
        <v>0</v>
      </c>
      <c r="F132" s="20">
        <v>0</v>
      </c>
      <c r="G132" s="20">
        <v>0</v>
      </c>
      <c r="H132" s="20">
        <v>0</v>
      </c>
      <c r="I132" s="20">
        <v>27.134999999999998</v>
      </c>
      <c r="J132" s="20">
        <v>0</v>
      </c>
      <c r="K132" s="20">
        <v>130.30500000000001</v>
      </c>
      <c r="L132" s="18">
        <v>0</v>
      </c>
      <c r="M132" s="18">
        <v>0</v>
      </c>
      <c r="N132" s="20">
        <v>0</v>
      </c>
      <c r="O132" s="20">
        <v>122.23312500000002</v>
      </c>
      <c r="P132" s="20">
        <v>0</v>
      </c>
      <c r="Q132" s="20">
        <v>0</v>
      </c>
      <c r="R132" s="20">
        <v>93.24</v>
      </c>
      <c r="S132" s="20">
        <v>76.44</v>
      </c>
      <c r="T132" s="20">
        <v>11.832000000000001</v>
      </c>
      <c r="U132" s="20">
        <v>0</v>
      </c>
      <c r="V132" s="20">
        <v>0</v>
      </c>
      <c r="W132" s="20">
        <v>0</v>
      </c>
      <c r="X132" s="20">
        <v>98.49</v>
      </c>
      <c r="Y132" s="20">
        <v>90.3</v>
      </c>
      <c r="Z132" s="20">
        <v>0</v>
      </c>
      <c r="AA132" s="20">
        <v>0</v>
      </c>
      <c r="AB132" s="20">
        <v>0</v>
      </c>
      <c r="AC132" s="20">
        <v>0</v>
      </c>
      <c r="AD132" s="20">
        <v>0</v>
      </c>
      <c r="AE132" s="20">
        <v>0</v>
      </c>
      <c r="AF132" s="20">
        <v>0</v>
      </c>
      <c r="AG132" s="20">
        <v>0</v>
      </c>
      <c r="AH132" s="20">
        <v>0</v>
      </c>
      <c r="AI132" s="20">
        <v>0</v>
      </c>
      <c r="AJ132" s="20">
        <v>0</v>
      </c>
      <c r="AK132" s="20">
        <v>0</v>
      </c>
      <c r="AL132" s="20">
        <v>0</v>
      </c>
      <c r="AM132" s="20">
        <v>0</v>
      </c>
      <c r="AN132" s="20">
        <v>0</v>
      </c>
      <c r="AO132" s="20">
        <v>0</v>
      </c>
      <c r="AP132" s="20">
        <v>0</v>
      </c>
      <c r="AQ132" s="20">
        <v>0</v>
      </c>
      <c r="AR132" s="20">
        <v>0</v>
      </c>
      <c r="AS132" s="20">
        <v>0</v>
      </c>
      <c r="AT132" s="20">
        <v>0</v>
      </c>
      <c r="AU132" s="20">
        <v>0</v>
      </c>
      <c r="AV132" s="20">
        <v>0</v>
      </c>
      <c r="AW132" s="20">
        <v>0</v>
      </c>
      <c r="AX132" s="20">
        <v>0</v>
      </c>
      <c r="AY132" s="20">
        <v>0</v>
      </c>
      <c r="AZ132" s="20">
        <v>0</v>
      </c>
      <c r="BA132" s="20">
        <v>0</v>
      </c>
      <c r="BB132" s="20">
        <v>0</v>
      </c>
      <c r="BC132" s="20">
        <v>0</v>
      </c>
      <c r="BD132" s="20">
        <v>0</v>
      </c>
      <c r="BE132" s="20">
        <v>0</v>
      </c>
      <c r="BF132" s="20">
        <v>0</v>
      </c>
      <c r="BG132" s="20">
        <v>0</v>
      </c>
      <c r="BH132" s="20">
        <v>0</v>
      </c>
      <c r="BI132" s="20">
        <v>0</v>
      </c>
      <c r="BJ132" s="20">
        <v>0</v>
      </c>
      <c r="BK132" s="20">
        <v>0</v>
      </c>
      <c r="BL132" s="20">
        <v>0</v>
      </c>
      <c r="BM132" s="14"/>
    </row>
    <row r="133" spans="1:65" x14ac:dyDescent="0.25">
      <c r="A133" s="17" t="str">
        <v>Pigeon Mixes</v>
      </c>
      <c r="B133" s="17" t="str">
        <v>Sydney Depurative</v>
      </c>
      <c r="C133" s="242">
        <f t="shared" si="2"/>
        <v>643.91800000000001</v>
      </c>
      <c r="D133" s="243">
        <f t="shared" si="3"/>
        <v>0.64391799999999999</v>
      </c>
      <c r="E133" s="20">
        <v>0</v>
      </c>
      <c r="F133" s="20">
        <v>0</v>
      </c>
      <c r="G133" s="20">
        <v>0</v>
      </c>
      <c r="H133" s="20">
        <v>0</v>
      </c>
      <c r="I133" s="20">
        <v>0</v>
      </c>
      <c r="J133" s="20">
        <v>51.249999999999993</v>
      </c>
      <c r="K133" s="20">
        <v>0</v>
      </c>
      <c r="L133" s="18">
        <v>0</v>
      </c>
      <c r="M133" s="18">
        <v>0</v>
      </c>
      <c r="N133" s="20">
        <v>0</v>
      </c>
      <c r="O133" s="20">
        <v>0</v>
      </c>
      <c r="P133" s="20">
        <v>33.18</v>
      </c>
      <c r="Q133" s="20">
        <v>0</v>
      </c>
      <c r="R133" s="20">
        <v>116.55</v>
      </c>
      <c r="S133" s="20">
        <v>47.774999999999999</v>
      </c>
      <c r="T133" s="20">
        <v>14.790000000000001</v>
      </c>
      <c r="U133" s="20">
        <v>0</v>
      </c>
      <c r="V133" s="20">
        <v>21</v>
      </c>
      <c r="W133" s="20">
        <v>134.46299999999999</v>
      </c>
      <c r="X133" s="20">
        <v>98.49</v>
      </c>
      <c r="Y133" s="20">
        <v>126.42</v>
      </c>
      <c r="Z133" s="20">
        <v>0</v>
      </c>
      <c r="AA133" s="20">
        <v>0</v>
      </c>
      <c r="AB133" s="20">
        <v>0</v>
      </c>
      <c r="AC133" s="20">
        <v>0</v>
      </c>
      <c r="AD133" s="20">
        <v>0</v>
      </c>
      <c r="AE133" s="20">
        <v>0</v>
      </c>
      <c r="AF133" s="20">
        <v>0</v>
      </c>
      <c r="AG133" s="20">
        <v>0</v>
      </c>
      <c r="AH133" s="20">
        <v>0</v>
      </c>
      <c r="AI133" s="20">
        <v>0</v>
      </c>
      <c r="AJ133" s="20">
        <v>0</v>
      </c>
      <c r="AK133" s="20">
        <v>0</v>
      </c>
      <c r="AL133" s="20">
        <v>0</v>
      </c>
      <c r="AM133" s="20">
        <v>0</v>
      </c>
      <c r="AN133" s="20">
        <v>0</v>
      </c>
      <c r="AO133" s="20">
        <v>0</v>
      </c>
      <c r="AP133" s="20">
        <v>0</v>
      </c>
      <c r="AQ133" s="20">
        <v>0</v>
      </c>
      <c r="AR133" s="20">
        <v>0</v>
      </c>
      <c r="AS133" s="20">
        <v>0</v>
      </c>
      <c r="AT133" s="20">
        <v>0</v>
      </c>
      <c r="AU133" s="20">
        <v>0</v>
      </c>
      <c r="AV133" s="20">
        <v>0</v>
      </c>
      <c r="AW133" s="20">
        <v>0</v>
      </c>
      <c r="AX133" s="20">
        <v>0</v>
      </c>
      <c r="AY133" s="20">
        <v>0</v>
      </c>
      <c r="AZ133" s="20">
        <v>0</v>
      </c>
      <c r="BA133" s="20">
        <v>0</v>
      </c>
      <c r="BB133" s="20">
        <v>0</v>
      </c>
      <c r="BC133" s="20">
        <v>0</v>
      </c>
      <c r="BD133" s="20">
        <v>0</v>
      </c>
      <c r="BE133" s="20">
        <v>0</v>
      </c>
      <c r="BF133" s="20">
        <v>0</v>
      </c>
      <c r="BG133" s="20">
        <v>0</v>
      </c>
      <c r="BH133" s="20">
        <v>0</v>
      </c>
      <c r="BI133" s="20">
        <v>0</v>
      </c>
      <c r="BJ133" s="20">
        <v>0</v>
      </c>
      <c r="BK133" s="20">
        <v>0</v>
      </c>
      <c r="BL133" s="20">
        <v>0</v>
      </c>
      <c r="BM133" s="14"/>
    </row>
    <row r="134" spans="1:65" x14ac:dyDescent="0.25">
      <c r="A134" s="17" t="str">
        <v>Pigeon Mixes</v>
      </c>
      <c r="B134" s="17" t="str">
        <v xml:space="preserve">Trapping </v>
      </c>
      <c r="C134" s="242">
        <f t="shared" si="2"/>
        <v>1173.18</v>
      </c>
      <c r="D134" s="243">
        <f t="shared" si="3"/>
        <v>1.0713972602739728</v>
      </c>
      <c r="E134" s="20">
        <v>0</v>
      </c>
      <c r="F134" s="20">
        <v>0</v>
      </c>
      <c r="G134" s="20">
        <v>106.08000000000001</v>
      </c>
      <c r="H134" s="20">
        <v>0</v>
      </c>
      <c r="I134" s="20">
        <v>162.81</v>
      </c>
      <c r="J134" s="20">
        <v>153.75</v>
      </c>
      <c r="K134" s="20">
        <v>0</v>
      </c>
      <c r="L134" s="18">
        <v>0</v>
      </c>
      <c r="M134" s="18">
        <v>0</v>
      </c>
      <c r="N134" s="20">
        <v>0</v>
      </c>
      <c r="O134" s="20">
        <v>0</v>
      </c>
      <c r="P134" s="20">
        <v>298.62</v>
      </c>
      <c r="Q134" s="20">
        <v>0</v>
      </c>
      <c r="R134" s="20">
        <v>186.48</v>
      </c>
      <c r="S134" s="20">
        <v>76.44</v>
      </c>
      <c r="T134" s="20">
        <v>0</v>
      </c>
      <c r="U134" s="20">
        <v>0</v>
      </c>
      <c r="V134" s="20">
        <v>189</v>
      </c>
      <c r="W134" s="20">
        <v>0</v>
      </c>
      <c r="X134" s="20">
        <v>0</v>
      </c>
      <c r="Y134" s="20">
        <v>0</v>
      </c>
      <c r="Z134" s="20">
        <v>0</v>
      </c>
      <c r="AA134" s="20">
        <v>0</v>
      </c>
      <c r="AB134" s="20">
        <v>0</v>
      </c>
      <c r="AC134" s="20">
        <v>0</v>
      </c>
      <c r="AD134" s="20">
        <v>0</v>
      </c>
      <c r="AE134" s="20">
        <v>0</v>
      </c>
      <c r="AF134" s="20">
        <v>0</v>
      </c>
      <c r="AG134" s="20">
        <v>0</v>
      </c>
      <c r="AH134" s="20">
        <v>0</v>
      </c>
      <c r="AI134" s="20">
        <v>0</v>
      </c>
      <c r="AJ134" s="20">
        <v>0</v>
      </c>
      <c r="AK134" s="20">
        <v>0</v>
      </c>
      <c r="AL134" s="20">
        <v>0</v>
      </c>
      <c r="AM134" s="20">
        <v>0</v>
      </c>
      <c r="AN134" s="20">
        <v>0</v>
      </c>
      <c r="AO134" s="20">
        <v>0</v>
      </c>
      <c r="AP134" s="20">
        <v>0</v>
      </c>
      <c r="AQ134" s="20">
        <v>0</v>
      </c>
      <c r="AR134" s="20">
        <v>0</v>
      </c>
      <c r="AS134" s="20">
        <v>0</v>
      </c>
      <c r="AT134" s="20">
        <v>0</v>
      </c>
      <c r="AU134" s="20">
        <v>0</v>
      </c>
      <c r="AV134" s="20">
        <v>0</v>
      </c>
      <c r="AW134" s="20">
        <v>0</v>
      </c>
      <c r="AX134" s="20">
        <v>0</v>
      </c>
      <c r="AY134" s="20">
        <v>0</v>
      </c>
      <c r="AZ134" s="20">
        <v>0</v>
      </c>
      <c r="BA134" s="20">
        <v>0</v>
      </c>
      <c r="BB134" s="20">
        <v>0</v>
      </c>
      <c r="BC134" s="20">
        <v>0</v>
      </c>
      <c r="BD134" s="20">
        <v>0</v>
      </c>
      <c r="BE134" s="20">
        <v>0</v>
      </c>
      <c r="BF134" s="20">
        <v>0</v>
      </c>
      <c r="BG134" s="20">
        <v>0</v>
      </c>
      <c r="BH134" s="20">
        <v>0</v>
      </c>
      <c r="BI134" s="20">
        <v>0</v>
      </c>
      <c r="BJ134" s="20">
        <v>0</v>
      </c>
      <c r="BK134" s="20">
        <v>0</v>
      </c>
      <c r="BL134" s="20">
        <v>0</v>
      </c>
      <c r="BM134" s="14"/>
    </row>
    <row r="135" spans="1:65" x14ac:dyDescent="0.25">
      <c r="A135" s="17" t="str">
        <v>Pigeon Mixes</v>
      </c>
      <c r="B135" s="17" t="str">
        <v>VHA Mix</v>
      </c>
      <c r="C135" s="242">
        <f t="shared" si="2"/>
        <v>635.29499999999996</v>
      </c>
      <c r="D135" s="243">
        <f t="shared" si="3"/>
        <v>0.63529499999999994</v>
      </c>
      <c r="E135" s="20">
        <v>0</v>
      </c>
      <c r="F135" s="20">
        <v>0</v>
      </c>
      <c r="G135" s="20">
        <v>0</v>
      </c>
      <c r="H135" s="20">
        <v>0</v>
      </c>
      <c r="I135" s="20">
        <v>0</v>
      </c>
      <c r="J135" s="20">
        <v>0</v>
      </c>
      <c r="K135" s="20">
        <v>76.649999999999991</v>
      </c>
      <c r="L135" s="18">
        <v>0</v>
      </c>
      <c r="M135" s="18">
        <v>0</v>
      </c>
      <c r="N135" s="20">
        <v>0</v>
      </c>
      <c r="O135" s="20">
        <v>139.69500000000002</v>
      </c>
      <c r="P135" s="20">
        <v>0</v>
      </c>
      <c r="Q135" s="20">
        <v>0</v>
      </c>
      <c r="R135" s="20">
        <v>233.1</v>
      </c>
      <c r="S135" s="20">
        <v>95.55</v>
      </c>
      <c r="T135" s="20">
        <v>0</v>
      </c>
      <c r="U135" s="20">
        <v>0</v>
      </c>
      <c r="V135" s="20">
        <v>0</v>
      </c>
      <c r="W135" s="20">
        <v>0</v>
      </c>
      <c r="X135" s="20">
        <v>0</v>
      </c>
      <c r="Y135" s="20">
        <v>90.3</v>
      </c>
      <c r="Z135" s="20">
        <v>0</v>
      </c>
      <c r="AA135" s="20">
        <v>0</v>
      </c>
      <c r="AB135" s="20">
        <v>0</v>
      </c>
      <c r="AC135" s="20">
        <v>0</v>
      </c>
      <c r="AD135" s="20">
        <v>0</v>
      </c>
      <c r="AE135" s="20">
        <v>0</v>
      </c>
      <c r="AF135" s="20">
        <v>0</v>
      </c>
      <c r="AG135" s="20">
        <v>0</v>
      </c>
      <c r="AH135" s="20">
        <v>0</v>
      </c>
      <c r="AI135" s="20">
        <v>0</v>
      </c>
      <c r="AJ135" s="20">
        <v>0</v>
      </c>
      <c r="AK135" s="20">
        <v>0</v>
      </c>
      <c r="AL135" s="20">
        <v>0</v>
      </c>
      <c r="AM135" s="20">
        <v>0</v>
      </c>
      <c r="AN135" s="20">
        <v>0</v>
      </c>
      <c r="AO135" s="20">
        <v>0</v>
      </c>
      <c r="AP135" s="20">
        <v>0</v>
      </c>
      <c r="AQ135" s="20">
        <v>0</v>
      </c>
      <c r="AR135" s="20">
        <v>0</v>
      </c>
      <c r="AS135" s="20">
        <v>0</v>
      </c>
      <c r="AT135" s="20">
        <v>0</v>
      </c>
      <c r="AU135" s="20">
        <v>0</v>
      </c>
      <c r="AV135" s="20">
        <v>0</v>
      </c>
      <c r="AW135" s="20">
        <v>0</v>
      </c>
      <c r="AX135" s="20">
        <v>0</v>
      </c>
      <c r="AY135" s="20">
        <v>0</v>
      </c>
      <c r="AZ135" s="20">
        <v>0</v>
      </c>
      <c r="BA135" s="20">
        <v>0</v>
      </c>
      <c r="BB135" s="20">
        <v>0</v>
      </c>
      <c r="BC135" s="20">
        <v>0</v>
      </c>
      <c r="BD135" s="20">
        <v>0</v>
      </c>
      <c r="BE135" s="20">
        <v>0</v>
      </c>
      <c r="BF135" s="20">
        <v>0</v>
      </c>
      <c r="BG135" s="20">
        <v>0</v>
      </c>
      <c r="BH135" s="20">
        <v>0</v>
      </c>
      <c r="BI135" s="20">
        <v>0</v>
      </c>
      <c r="BJ135" s="20">
        <v>0</v>
      </c>
      <c r="BK135" s="20">
        <v>0</v>
      </c>
      <c r="BL135" s="20">
        <v>0</v>
      </c>
      <c r="BM135" s="14"/>
    </row>
    <row r="136" spans="1:65" x14ac:dyDescent="0.25">
      <c r="A136" s="17" t="str">
        <v>HunterBird</v>
      </c>
      <c r="B136" s="17" t="str">
        <v>Wildbird Mix - BUDGET</v>
      </c>
      <c r="C136" s="242">
        <f t="shared" si="2"/>
        <v>676.17599999999993</v>
      </c>
      <c r="D136" s="243">
        <f t="shared" si="3"/>
        <v>0.33145882352941175</v>
      </c>
      <c r="E136" s="20">
        <v>117.93599999999999</v>
      </c>
      <c r="F136" s="20">
        <v>0</v>
      </c>
      <c r="G136" s="20">
        <v>0</v>
      </c>
      <c r="H136" s="20">
        <v>0</v>
      </c>
      <c r="I136" s="20">
        <v>0</v>
      </c>
      <c r="J136" s="20">
        <v>0</v>
      </c>
      <c r="K136" s="20">
        <v>0</v>
      </c>
      <c r="L136" s="18">
        <v>0</v>
      </c>
      <c r="M136" s="18">
        <v>0</v>
      </c>
      <c r="N136" s="20">
        <v>0</v>
      </c>
      <c r="O136" s="20">
        <v>0</v>
      </c>
      <c r="P136" s="20">
        <v>0</v>
      </c>
      <c r="Q136" s="20">
        <v>0</v>
      </c>
      <c r="R136" s="20">
        <v>0</v>
      </c>
      <c r="S136" s="20">
        <v>229.32</v>
      </c>
      <c r="T136" s="20">
        <v>0</v>
      </c>
      <c r="U136" s="20">
        <v>178.92000000000002</v>
      </c>
      <c r="V136" s="20">
        <v>0</v>
      </c>
      <c r="W136" s="20">
        <v>0</v>
      </c>
      <c r="X136" s="20">
        <v>0</v>
      </c>
      <c r="Y136" s="20">
        <v>0</v>
      </c>
      <c r="Z136" s="20">
        <v>0</v>
      </c>
      <c r="AA136" s="20">
        <v>0</v>
      </c>
      <c r="AB136" s="20">
        <v>0</v>
      </c>
      <c r="AC136" s="20">
        <v>0</v>
      </c>
      <c r="AD136" s="20">
        <v>0</v>
      </c>
      <c r="AE136" s="20">
        <v>0</v>
      </c>
      <c r="AF136" s="20">
        <v>0</v>
      </c>
      <c r="AG136" s="20">
        <v>0</v>
      </c>
      <c r="AH136" s="20">
        <v>0</v>
      </c>
      <c r="AI136" s="20">
        <v>0</v>
      </c>
      <c r="AJ136" s="20">
        <v>0</v>
      </c>
      <c r="AK136" s="20">
        <v>0</v>
      </c>
      <c r="AL136" s="20">
        <v>0</v>
      </c>
      <c r="AM136" s="20">
        <v>150</v>
      </c>
      <c r="AN136" s="20">
        <v>0</v>
      </c>
      <c r="AO136" s="20">
        <v>0</v>
      </c>
      <c r="AP136" s="20">
        <v>0</v>
      </c>
      <c r="AQ136" s="20">
        <v>0</v>
      </c>
      <c r="AR136" s="20">
        <v>0</v>
      </c>
      <c r="AS136" s="20">
        <v>0</v>
      </c>
      <c r="AT136" s="20">
        <v>0</v>
      </c>
      <c r="AU136" s="20">
        <v>0</v>
      </c>
      <c r="AV136" s="20">
        <v>0</v>
      </c>
      <c r="AW136" s="20">
        <v>0</v>
      </c>
      <c r="AX136" s="20">
        <v>0</v>
      </c>
      <c r="AY136" s="20">
        <v>0</v>
      </c>
      <c r="AZ136" s="20">
        <v>0</v>
      </c>
      <c r="BA136" s="20">
        <v>0</v>
      </c>
      <c r="BB136" s="20">
        <v>0</v>
      </c>
      <c r="BC136" s="20">
        <v>0</v>
      </c>
      <c r="BD136" s="20">
        <v>0</v>
      </c>
      <c r="BE136" s="20">
        <v>0</v>
      </c>
      <c r="BF136" s="20">
        <v>0</v>
      </c>
      <c r="BG136" s="20">
        <v>0</v>
      </c>
      <c r="BH136" s="20">
        <v>0</v>
      </c>
      <c r="BI136" s="20">
        <v>0</v>
      </c>
      <c r="BJ136" s="20">
        <v>0</v>
      </c>
      <c r="BK136" s="20">
        <v>0</v>
      </c>
      <c r="BL136" s="20">
        <v>0</v>
      </c>
      <c r="BM136" s="14"/>
    </row>
    <row r="137" spans="1:65" x14ac:dyDescent="0.25">
      <c r="A137" s="17" t="str">
        <v>HunterBird</v>
      </c>
      <c r="B137" s="17" t="str">
        <v>Hunter - Budgie Mix</v>
      </c>
      <c r="C137" s="242">
        <f t="shared" si="2"/>
        <v>1319.4</v>
      </c>
      <c r="D137" s="243">
        <f t="shared" si="3"/>
        <v>1.014923076923077</v>
      </c>
      <c r="E137" s="20">
        <v>0</v>
      </c>
      <c r="F137" s="20">
        <v>0</v>
      </c>
      <c r="G137" s="20">
        <v>0</v>
      </c>
      <c r="H137" s="20">
        <v>0</v>
      </c>
      <c r="I137" s="20">
        <v>361.8</v>
      </c>
      <c r="J137" s="20">
        <v>0</v>
      </c>
      <c r="K137" s="20">
        <v>0</v>
      </c>
      <c r="L137" s="18">
        <v>0</v>
      </c>
      <c r="M137" s="18">
        <v>0</v>
      </c>
      <c r="N137" s="20">
        <v>170.1</v>
      </c>
      <c r="O137" s="20">
        <v>0</v>
      </c>
      <c r="P137" s="20">
        <v>0</v>
      </c>
      <c r="Q137" s="20">
        <v>0</v>
      </c>
      <c r="R137" s="20">
        <v>0</v>
      </c>
      <c r="S137" s="20">
        <v>0</v>
      </c>
      <c r="T137" s="20">
        <v>0</v>
      </c>
      <c r="U137" s="20">
        <v>0</v>
      </c>
      <c r="V137" s="20">
        <v>787.5</v>
      </c>
      <c r="W137" s="20">
        <v>0</v>
      </c>
      <c r="X137" s="20">
        <v>0</v>
      </c>
      <c r="Y137" s="20">
        <v>0</v>
      </c>
      <c r="Z137" s="20">
        <v>0</v>
      </c>
      <c r="AA137" s="20">
        <v>0</v>
      </c>
      <c r="AB137" s="20">
        <v>0</v>
      </c>
      <c r="AC137" s="20">
        <v>0</v>
      </c>
      <c r="AD137" s="20">
        <v>0</v>
      </c>
      <c r="AE137" s="20">
        <v>0</v>
      </c>
      <c r="AF137" s="20">
        <v>0</v>
      </c>
      <c r="AG137" s="20">
        <v>0</v>
      </c>
      <c r="AH137" s="20">
        <v>0</v>
      </c>
      <c r="AI137" s="20">
        <v>0</v>
      </c>
      <c r="AJ137" s="20">
        <v>0</v>
      </c>
      <c r="AK137" s="20">
        <v>0</v>
      </c>
      <c r="AL137" s="20">
        <v>0</v>
      </c>
      <c r="AM137" s="20">
        <v>0</v>
      </c>
      <c r="AN137" s="20">
        <v>0</v>
      </c>
      <c r="AO137" s="20">
        <v>0</v>
      </c>
      <c r="AP137" s="20">
        <v>0</v>
      </c>
      <c r="AQ137" s="20">
        <v>0</v>
      </c>
      <c r="AR137" s="20">
        <v>0</v>
      </c>
      <c r="AS137" s="20">
        <v>0</v>
      </c>
      <c r="AT137" s="20">
        <v>0</v>
      </c>
      <c r="AU137" s="20">
        <v>0</v>
      </c>
      <c r="AV137" s="20">
        <v>0</v>
      </c>
      <c r="AW137" s="20">
        <v>0</v>
      </c>
      <c r="AX137" s="20">
        <v>0</v>
      </c>
      <c r="AY137" s="20">
        <v>0</v>
      </c>
      <c r="AZ137" s="20">
        <v>0</v>
      </c>
      <c r="BA137" s="20">
        <v>0</v>
      </c>
      <c r="BB137" s="20">
        <v>0</v>
      </c>
      <c r="BC137" s="20">
        <v>0</v>
      </c>
      <c r="BD137" s="20">
        <v>0</v>
      </c>
      <c r="BE137" s="20">
        <v>0</v>
      </c>
      <c r="BF137" s="20">
        <v>0</v>
      </c>
      <c r="BG137" s="20">
        <v>0</v>
      </c>
      <c r="BH137" s="20">
        <v>0</v>
      </c>
      <c r="BI137" s="20">
        <v>0</v>
      </c>
      <c r="BJ137" s="20">
        <v>0</v>
      </c>
      <c r="BK137" s="20">
        <v>0</v>
      </c>
      <c r="BL137" s="20">
        <v>0</v>
      </c>
      <c r="BM137" s="14"/>
    </row>
    <row r="138" spans="1:65" x14ac:dyDescent="0.25">
      <c r="A138" s="17" t="str">
        <v>HunterBird</v>
      </c>
      <c r="B138" s="17" t="str">
        <v>Lovebird Mix</v>
      </c>
      <c r="C138" s="242">
        <f t="shared" si="2"/>
        <v>1371.39</v>
      </c>
      <c r="D138" s="243">
        <f t="shared" si="3"/>
        <v>1.2410769230769232</v>
      </c>
      <c r="E138" s="20">
        <v>0</v>
      </c>
      <c r="F138" s="20">
        <v>0</v>
      </c>
      <c r="G138" s="20">
        <v>0</v>
      </c>
      <c r="H138" s="20">
        <v>308.70000000000005</v>
      </c>
      <c r="I138" s="20">
        <v>180.9</v>
      </c>
      <c r="J138" s="20">
        <v>0</v>
      </c>
      <c r="K138" s="20">
        <v>0</v>
      </c>
      <c r="L138" s="18">
        <v>0</v>
      </c>
      <c r="M138" s="18">
        <v>0</v>
      </c>
      <c r="N138" s="20">
        <v>141.75</v>
      </c>
      <c r="O138" s="20">
        <v>0</v>
      </c>
      <c r="P138" s="20">
        <v>331.8</v>
      </c>
      <c r="Q138" s="20">
        <v>0</v>
      </c>
      <c r="R138" s="20">
        <v>93.24</v>
      </c>
      <c r="S138" s="20">
        <v>0</v>
      </c>
      <c r="T138" s="20">
        <v>0</v>
      </c>
      <c r="U138" s="20">
        <v>0</v>
      </c>
      <c r="V138" s="20">
        <v>315</v>
      </c>
      <c r="W138" s="20">
        <v>0</v>
      </c>
      <c r="X138" s="20">
        <v>0</v>
      </c>
      <c r="Y138" s="20">
        <v>0</v>
      </c>
      <c r="Z138" s="20">
        <v>0</v>
      </c>
      <c r="AA138" s="20">
        <v>0</v>
      </c>
      <c r="AB138" s="20">
        <v>0</v>
      </c>
      <c r="AC138" s="20">
        <v>0</v>
      </c>
      <c r="AD138" s="20">
        <v>0</v>
      </c>
      <c r="AE138" s="20">
        <v>0</v>
      </c>
      <c r="AF138" s="20">
        <v>0</v>
      </c>
      <c r="AG138" s="20">
        <v>0</v>
      </c>
      <c r="AH138" s="20">
        <v>0</v>
      </c>
      <c r="AI138" s="20">
        <v>0</v>
      </c>
      <c r="AJ138" s="20">
        <v>0</v>
      </c>
      <c r="AK138" s="20">
        <v>0</v>
      </c>
      <c r="AL138" s="20">
        <v>0</v>
      </c>
      <c r="AM138" s="20">
        <v>0</v>
      </c>
      <c r="AN138" s="20">
        <v>0</v>
      </c>
      <c r="AO138" s="20">
        <v>0</v>
      </c>
      <c r="AP138" s="20">
        <v>0</v>
      </c>
      <c r="AQ138" s="20">
        <v>0</v>
      </c>
      <c r="AR138" s="20">
        <v>0</v>
      </c>
      <c r="AS138" s="20">
        <v>0</v>
      </c>
      <c r="AT138" s="20">
        <v>0</v>
      </c>
      <c r="AU138" s="20">
        <v>0</v>
      </c>
      <c r="AV138" s="20">
        <v>0</v>
      </c>
      <c r="AW138" s="20">
        <v>0</v>
      </c>
      <c r="AX138" s="20">
        <v>0</v>
      </c>
      <c r="AY138" s="20">
        <v>0</v>
      </c>
      <c r="AZ138" s="20">
        <v>0</v>
      </c>
      <c r="BA138" s="20">
        <v>0</v>
      </c>
      <c r="BB138" s="20">
        <v>0</v>
      </c>
      <c r="BC138" s="20">
        <v>0</v>
      </c>
      <c r="BD138" s="20">
        <v>0</v>
      </c>
      <c r="BE138" s="20">
        <v>0</v>
      </c>
      <c r="BF138" s="20">
        <v>0</v>
      </c>
      <c r="BG138" s="20">
        <v>0</v>
      </c>
      <c r="BH138" s="20">
        <v>0</v>
      </c>
      <c r="BI138" s="20">
        <v>0</v>
      </c>
      <c r="BJ138" s="20">
        <v>0</v>
      </c>
      <c r="BK138" s="20">
        <v>0</v>
      </c>
      <c r="BL138" s="20">
        <v>0</v>
      </c>
      <c r="BM138" s="14"/>
    </row>
    <row r="139" spans="1:65" x14ac:dyDescent="0.25">
      <c r="A139" s="17" t="str">
        <v>HunterBird</v>
      </c>
      <c r="B139" s="17" t="str">
        <v>Hunter - Parrot Mix</v>
      </c>
      <c r="C139" s="242">
        <f t="shared" si="2"/>
        <v>815.46999999999991</v>
      </c>
      <c r="D139" s="243">
        <f t="shared" si="3"/>
        <v>0.6321472868217054</v>
      </c>
      <c r="E139" s="62">
        <v>0</v>
      </c>
      <c r="F139" s="62">
        <v>0</v>
      </c>
      <c r="G139" s="20">
        <v>0</v>
      </c>
      <c r="H139" s="20">
        <v>324.13500000000005</v>
      </c>
      <c r="I139" s="20">
        <v>0</v>
      </c>
      <c r="J139" s="20">
        <v>0</v>
      </c>
      <c r="K139" s="20">
        <v>0</v>
      </c>
      <c r="L139" s="18">
        <v>75.599999999999994</v>
      </c>
      <c r="M139" s="18">
        <v>0</v>
      </c>
      <c r="N139" s="20">
        <v>0</v>
      </c>
      <c r="O139" s="20">
        <v>0</v>
      </c>
      <c r="P139" s="20">
        <v>0</v>
      </c>
      <c r="Q139" s="20">
        <v>0</v>
      </c>
      <c r="R139" s="61">
        <v>58.274999999999999</v>
      </c>
      <c r="S139" s="61">
        <v>95.55</v>
      </c>
      <c r="T139" s="20">
        <v>0</v>
      </c>
      <c r="U139" s="61">
        <v>223.65</v>
      </c>
      <c r="V139" s="20">
        <v>0</v>
      </c>
      <c r="W139" s="20">
        <v>0</v>
      </c>
      <c r="X139" s="20">
        <v>0</v>
      </c>
      <c r="Y139" s="20">
        <v>0</v>
      </c>
      <c r="Z139" s="20">
        <v>0</v>
      </c>
      <c r="AA139" s="61">
        <v>38.26</v>
      </c>
      <c r="AB139" s="20">
        <v>0</v>
      </c>
      <c r="AC139" s="20">
        <v>0</v>
      </c>
      <c r="AD139" s="20">
        <v>0</v>
      </c>
      <c r="AE139" s="20">
        <v>0</v>
      </c>
      <c r="AF139" s="20">
        <v>0</v>
      </c>
      <c r="AG139" s="20">
        <v>0</v>
      </c>
      <c r="AH139" s="20">
        <v>0</v>
      </c>
      <c r="AI139" s="20">
        <v>0</v>
      </c>
      <c r="AJ139" s="20">
        <v>0</v>
      </c>
      <c r="AK139" s="20">
        <v>0</v>
      </c>
      <c r="AL139" s="20">
        <v>0</v>
      </c>
      <c r="AM139" s="20">
        <v>0</v>
      </c>
      <c r="AN139" s="20">
        <v>0</v>
      </c>
      <c r="AO139" s="20">
        <v>0</v>
      </c>
      <c r="AP139" s="20">
        <v>0</v>
      </c>
      <c r="AQ139" s="20">
        <v>0</v>
      </c>
      <c r="AR139" s="20">
        <v>0</v>
      </c>
      <c r="AS139" s="20">
        <v>0</v>
      </c>
      <c r="AT139" s="20">
        <v>0</v>
      </c>
      <c r="AU139" s="20">
        <v>0</v>
      </c>
      <c r="AV139" s="20">
        <v>0</v>
      </c>
      <c r="AW139" s="20">
        <v>0</v>
      </c>
      <c r="AX139" s="20">
        <v>0</v>
      </c>
      <c r="AY139" s="20">
        <v>0</v>
      </c>
      <c r="AZ139" s="20">
        <v>0</v>
      </c>
      <c r="BA139" s="20">
        <v>0</v>
      </c>
      <c r="BB139" s="20">
        <v>0</v>
      </c>
      <c r="BC139" s="20">
        <v>0</v>
      </c>
      <c r="BD139" s="20">
        <v>0</v>
      </c>
      <c r="BE139" s="20">
        <v>0</v>
      </c>
      <c r="BF139" s="20">
        <v>0</v>
      </c>
      <c r="BG139" s="20">
        <v>0</v>
      </c>
      <c r="BH139" s="20">
        <v>0</v>
      </c>
      <c r="BI139" s="20">
        <v>0</v>
      </c>
      <c r="BJ139" s="20">
        <v>0</v>
      </c>
      <c r="BK139" s="20">
        <v>0</v>
      </c>
      <c r="BL139" s="20">
        <v>0</v>
      </c>
      <c r="BM139" s="14"/>
    </row>
    <row r="140" spans="1:65" x14ac:dyDescent="0.25">
      <c r="A140" s="17" t="str">
        <v>HunterBird</v>
      </c>
      <c r="B140" s="17" t="str">
        <v>Hunter Wildbird Mix</v>
      </c>
      <c r="C140" s="242">
        <f t="shared" si="2"/>
        <v>888.8504999999999</v>
      </c>
      <c r="D140" s="243">
        <f t="shared" si="3"/>
        <v>0.60057466216216204</v>
      </c>
      <c r="E140" s="20">
        <v>265.35599999999999</v>
      </c>
      <c r="F140" s="20">
        <v>0</v>
      </c>
      <c r="G140" s="20">
        <v>0</v>
      </c>
      <c r="H140" s="20">
        <v>30.87</v>
      </c>
      <c r="I140" s="20">
        <v>0</v>
      </c>
      <c r="J140" s="20">
        <v>0</v>
      </c>
      <c r="K140" s="20">
        <v>38.324999999999996</v>
      </c>
      <c r="L140" s="18">
        <v>151.19999999999999</v>
      </c>
      <c r="M140" s="18">
        <v>0</v>
      </c>
      <c r="N140" s="20">
        <v>0</v>
      </c>
      <c r="O140" s="20">
        <v>13.969500000000002</v>
      </c>
      <c r="P140" s="20">
        <v>0</v>
      </c>
      <c r="Q140" s="20">
        <v>0</v>
      </c>
      <c r="R140" s="20">
        <v>69.929999999999993</v>
      </c>
      <c r="S140" s="20">
        <v>95.55</v>
      </c>
      <c r="T140" s="20">
        <v>0</v>
      </c>
      <c r="U140" s="20">
        <v>223.65</v>
      </c>
      <c r="V140" s="20">
        <v>0</v>
      </c>
      <c r="W140" s="20">
        <v>0</v>
      </c>
      <c r="X140" s="20">
        <v>0</v>
      </c>
      <c r="Y140" s="20">
        <v>0</v>
      </c>
      <c r="Z140" s="20">
        <v>0</v>
      </c>
      <c r="AA140" s="20">
        <v>0</v>
      </c>
      <c r="AB140" s="20">
        <v>0</v>
      </c>
      <c r="AC140" s="20">
        <v>0</v>
      </c>
      <c r="AD140" s="20">
        <v>0</v>
      </c>
      <c r="AE140" s="20">
        <v>0</v>
      </c>
      <c r="AF140" s="20">
        <v>0</v>
      </c>
      <c r="AG140" s="20">
        <v>0</v>
      </c>
      <c r="AH140" s="20">
        <v>0</v>
      </c>
      <c r="AI140" s="20">
        <v>0</v>
      </c>
      <c r="AJ140" s="20">
        <v>0</v>
      </c>
      <c r="AK140" s="20">
        <v>0</v>
      </c>
      <c r="AL140" s="20">
        <v>0</v>
      </c>
      <c r="AM140" s="20">
        <v>0</v>
      </c>
      <c r="AN140" s="20">
        <v>0</v>
      </c>
      <c r="AO140" s="20">
        <v>0</v>
      </c>
      <c r="AP140" s="20">
        <v>0</v>
      </c>
      <c r="AQ140" s="20">
        <v>0</v>
      </c>
      <c r="AR140" s="20">
        <v>0</v>
      </c>
      <c r="AS140" s="20">
        <v>0</v>
      </c>
      <c r="AT140" s="20">
        <v>0</v>
      </c>
      <c r="AU140" s="20">
        <v>0</v>
      </c>
      <c r="AV140" s="20">
        <v>0</v>
      </c>
      <c r="AW140" s="20">
        <v>0</v>
      </c>
      <c r="AX140" s="20">
        <v>0</v>
      </c>
      <c r="AY140" s="20">
        <v>0</v>
      </c>
      <c r="AZ140" s="20">
        <v>0</v>
      </c>
      <c r="BA140" s="20">
        <v>0</v>
      </c>
      <c r="BB140" s="20">
        <v>0</v>
      </c>
      <c r="BC140" s="20">
        <v>0</v>
      </c>
      <c r="BD140" s="20">
        <v>0</v>
      </c>
      <c r="BE140" s="20">
        <v>0</v>
      </c>
      <c r="BF140" s="20">
        <v>0</v>
      </c>
      <c r="BG140" s="20">
        <v>0</v>
      </c>
      <c r="BH140" s="20">
        <v>0</v>
      </c>
      <c r="BI140" s="20">
        <v>0</v>
      </c>
      <c r="BJ140" s="20">
        <v>0</v>
      </c>
      <c r="BK140" s="20">
        <v>0</v>
      </c>
      <c r="BL140" s="20">
        <v>0</v>
      </c>
      <c r="BM140" s="14"/>
    </row>
    <row r="141" spans="1:65" x14ac:dyDescent="0.25">
      <c r="A141" s="17" t="str">
        <v>Poultry &amp; Pig</v>
      </c>
      <c r="B141" s="17" t="str">
        <v>Mayreef Gold</v>
      </c>
      <c r="C141" s="242">
        <f t="shared" si="2"/>
        <v>1136.44625</v>
      </c>
      <c r="D141" s="243">
        <f t="shared" si="3"/>
        <v>0.93921177685950408</v>
      </c>
      <c r="E141" s="20">
        <v>29.483999999999998</v>
      </c>
      <c r="F141" s="20">
        <v>7.5</v>
      </c>
      <c r="G141" s="20">
        <v>0</v>
      </c>
      <c r="H141" s="20">
        <v>0</v>
      </c>
      <c r="I141" s="20">
        <v>0</v>
      </c>
      <c r="J141" s="20">
        <v>0</v>
      </c>
      <c r="K141" s="20">
        <v>0</v>
      </c>
      <c r="L141" s="18">
        <v>0</v>
      </c>
      <c r="M141" s="18">
        <v>0</v>
      </c>
      <c r="N141" s="20">
        <v>0</v>
      </c>
      <c r="O141" s="20">
        <v>0</v>
      </c>
      <c r="P141" s="20">
        <v>0</v>
      </c>
      <c r="Q141" s="20">
        <v>0</v>
      </c>
      <c r="R141" s="20">
        <v>0</v>
      </c>
      <c r="S141" s="20">
        <v>47.774999999999999</v>
      </c>
      <c r="T141" s="20">
        <v>0</v>
      </c>
      <c r="U141" s="20">
        <v>208.74</v>
      </c>
      <c r="V141" s="20">
        <v>0</v>
      </c>
      <c r="W141" s="20">
        <v>28.308</v>
      </c>
      <c r="X141" s="20">
        <v>0</v>
      </c>
      <c r="Y141" s="20">
        <v>0</v>
      </c>
      <c r="Z141" s="20">
        <v>0</v>
      </c>
      <c r="AA141" s="20">
        <v>100.43249999999999</v>
      </c>
      <c r="AB141" s="20">
        <v>26.5</v>
      </c>
      <c r="AC141" s="20">
        <v>74.12</v>
      </c>
      <c r="AD141" s="20">
        <v>27.599999999999998</v>
      </c>
      <c r="AE141" s="20">
        <v>44</v>
      </c>
      <c r="AF141" s="20">
        <v>17.15175</v>
      </c>
      <c r="AG141" s="20">
        <v>475</v>
      </c>
      <c r="AH141" s="20">
        <v>47.9</v>
      </c>
      <c r="AI141" s="20">
        <v>1.9350000000000001</v>
      </c>
      <c r="AJ141" s="20">
        <v>0</v>
      </c>
      <c r="AK141" s="20">
        <v>0</v>
      </c>
      <c r="AL141" s="20">
        <v>0</v>
      </c>
      <c r="AM141" s="20">
        <v>0</v>
      </c>
      <c r="AN141" s="20">
        <v>0</v>
      </c>
      <c r="AO141" s="20">
        <v>0</v>
      </c>
      <c r="AP141" s="20">
        <v>0</v>
      </c>
      <c r="AQ141" s="20">
        <v>0</v>
      </c>
      <c r="AR141" s="20">
        <v>0</v>
      </c>
      <c r="AS141" s="20">
        <v>0</v>
      </c>
      <c r="AT141" s="20">
        <v>0</v>
      </c>
      <c r="AU141" s="20">
        <v>0</v>
      </c>
      <c r="AV141" s="20">
        <v>0</v>
      </c>
      <c r="AW141" s="20">
        <v>0</v>
      </c>
      <c r="AX141" s="20">
        <v>0</v>
      </c>
      <c r="AY141" s="20">
        <v>0</v>
      </c>
      <c r="AZ141" s="20">
        <v>0</v>
      </c>
      <c r="BA141" s="20">
        <v>0</v>
      </c>
      <c r="BB141" s="20">
        <v>0</v>
      </c>
      <c r="BC141" s="20">
        <v>0</v>
      </c>
      <c r="BD141" s="20">
        <v>0</v>
      </c>
      <c r="BE141" s="20">
        <v>0</v>
      </c>
      <c r="BF141" s="20">
        <v>0</v>
      </c>
      <c r="BG141" s="20">
        <v>0</v>
      </c>
      <c r="BH141" s="20">
        <v>0</v>
      </c>
      <c r="BI141" s="20">
        <v>0</v>
      </c>
      <c r="BJ141" s="20">
        <v>0</v>
      </c>
      <c r="BK141" s="20">
        <v>0</v>
      </c>
      <c r="BL141" s="20">
        <v>0</v>
      </c>
      <c r="BM141" s="14"/>
    </row>
    <row r="142" spans="1:65" x14ac:dyDescent="0.25">
      <c r="A142" s="17" t="str">
        <v>Poultry &amp; Pig</v>
      </c>
      <c r="B142" s="17" t="str">
        <v>AgriBarn Poultry Mix</v>
      </c>
      <c r="C142" s="242">
        <f t="shared" si="2"/>
        <v>488.85950000000003</v>
      </c>
      <c r="D142" s="243">
        <f t="shared" si="3"/>
        <v>0.46337393364928914</v>
      </c>
      <c r="E142" s="20">
        <v>29.483999999999998</v>
      </c>
      <c r="F142" s="20">
        <v>0</v>
      </c>
      <c r="G142" s="20">
        <v>0</v>
      </c>
      <c r="H142" s="20">
        <v>0</v>
      </c>
      <c r="I142" s="20">
        <v>0</v>
      </c>
      <c r="J142" s="20">
        <v>0</v>
      </c>
      <c r="K142" s="20">
        <v>0</v>
      </c>
      <c r="L142" s="18">
        <v>0</v>
      </c>
      <c r="M142" s="18">
        <v>0</v>
      </c>
      <c r="N142" s="20">
        <v>0</v>
      </c>
      <c r="O142" s="20">
        <v>0</v>
      </c>
      <c r="P142" s="20">
        <v>0</v>
      </c>
      <c r="Q142" s="20">
        <v>0</v>
      </c>
      <c r="R142" s="20">
        <v>0</v>
      </c>
      <c r="S142" s="20">
        <v>47.774999999999999</v>
      </c>
      <c r="T142" s="20">
        <v>0</v>
      </c>
      <c r="U142" s="20">
        <v>208.74</v>
      </c>
      <c r="V142" s="20">
        <v>0</v>
      </c>
      <c r="W142" s="20">
        <v>28.308</v>
      </c>
      <c r="X142" s="20">
        <v>0</v>
      </c>
      <c r="Y142" s="20">
        <v>0</v>
      </c>
      <c r="Z142" s="20">
        <v>0</v>
      </c>
      <c r="AA142" s="20">
        <v>100.43249999999999</v>
      </c>
      <c r="AB142" s="20">
        <v>0</v>
      </c>
      <c r="AC142" s="20">
        <v>74.12</v>
      </c>
      <c r="AD142" s="20">
        <v>0</v>
      </c>
      <c r="AE142" s="20">
        <v>0</v>
      </c>
      <c r="AF142" s="20">
        <v>0</v>
      </c>
      <c r="AG142" s="20">
        <v>0</v>
      </c>
      <c r="AH142" s="20">
        <v>0</v>
      </c>
      <c r="AI142" s="20">
        <v>0</v>
      </c>
      <c r="AJ142" s="20">
        <v>0</v>
      </c>
      <c r="AK142" s="20">
        <v>0</v>
      </c>
      <c r="AL142" s="20">
        <v>0</v>
      </c>
      <c r="AM142" s="20">
        <v>0</v>
      </c>
      <c r="AN142" s="20">
        <v>0</v>
      </c>
      <c r="AO142" s="20">
        <v>0</v>
      </c>
      <c r="AP142" s="20">
        <v>0</v>
      </c>
      <c r="AQ142" s="20">
        <v>0</v>
      </c>
      <c r="AR142" s="20">
        <v>0</v>
      </c>
      <c r="AS142" s="20">
        <v>0</v>
      </c>
      <c r="AT142" s="20">
        <v>0</v>
      </c>
      <c r="AU142" s="20">
        <v>0</v>
      </c>
      <c r="AV142" s="20">
        <v>0</v>
      </c>
      <c r="AW142" s="20">
        <v>0</v>
      </c>
      <c r="AX142" s="20">
        <v>0</v>
      </c>
      <c r="AY142" s="20">
        <v>0</v>
      </c>
      <c r="AZ142" s="20">
        <v>0</v>
      </c>
      <c r="BA142" s="20">
        <v>0</v>
      </c>
      <c r="BB142" s="20">
        <v>0</v>
      </c>
      <c r="BC142" s="20">
        <v>0</v>
      </c>
      <c r="BD142" s="20">
        <v>0</v>
      </c>
      <c r="BE142" s="20">
        <v>0</v>
      </c>
      <c r="BF142" s="20">
        <v>0</v>
      </c>
      <c r="BG142" s="20">
        <v>0</v>
      </c>
      <c r="BH142" s="20">
        <v>0</v>
      </c>
      <c r="BI142" s="20">
        <v>0</v>
      </c>
      <c r="BJ142" s="20">
        <v>0</v>
      </c>
      <c r="BK142" s="20">
        <v>0</v>
      </c>
      <c r="BL142" s="20">
        <v>0</v>
      </c>
      <c r="BM142" s="14"/>
    </row>
    <row r="143" spans="1:65" x14ac:dyDescent="0.25">
      <c r="A143" s="17" t="str">
        <v>Poultry &amp; Pig</v>
      </c>
      <c r="B143" s="17" t="str">
        <v>Chook Tucker</v>
      </c>
      <c r="C143" s="242">
        <f t="shared" si="2"/>
        <v>487.03924999999998</v>
      </c>
      <c r="D143" s="243">
        <f t="shared" si="3"/>
        <v>0.48703924999999998</v>
      </c>
      <c r="E143" s="20">
        <v>36.854999999999997</v>
      </c>
      <c r="F143" s="20">
        <v>0</v>
      </c>
      <c r="G143" s="20">
        <v>0</v>
      </c>
      <c r="H143" s="20">
        <v>0</v>
      </c>
      <c r="I143" s="20">
        <v>0</v>
      </c>
      <c r="J143" s="20">
        <v>0</v>
      </c>
      <c r="K143" s="20">
        <v>0</v>
      </c>
      <c r="L143" s="18">
        <v>0</v>
      </c>
      <c r="M143" s="18">
        <v>0</v>
      </c>
      <c r="N143" s="20">
        <v>0</v>
      </c>
      <c r="O143" s="20">
        <v>0</v>
      </c>
      <c r="P143" s="20">
        <v>0</v>
      </c>
      <c r="Q143" s="20">
        <v>0</v>
      </c>
      <c r="R143" s="20">
        <v>0</v>
      </c>
      <c r="S143" s="20">
        <v>100.3275</v>
      </c>
      <c r="T143" s="20">
        <v>0</v>
      </c>
      <c r="U143" s="20">
        <v>130.46250000000001</v>
      </c>
      <c r="V143" s="20">
        <v>0</v>
      </c>
      <c r="W143" s="20">
        <v>63.692999999999998</v>
      </c>
      <c r="X143" s="20">
        <v>0</v>
      </c>
      <c r="Y143" s="20">
        <v>0</v>
      </c>
      <c r="Z143" s="20">
        <v>0</v>
      </c>
      <c r="AA143" s="20">
        <v>59.781249999999993</v>
      </c>
      <c r="AB143" s="20">
        <v>0</v>
      </c>
      <c r="AC143" s="20">
        <v>95.920000000000016</v>
      </c>
      <c r="AD143" s="20">
        <v>0</v>
      </c>
      <c r="AE143" s="20">
        <v>0</v>
      </c>
      <c r="AF143" s="20">
        <v>0</v>
      </c>
      <c r="AG143" s="20">
        <v>0</v>
      </c>
      <c r="AH143" s="20">
        <v>0</v>
      </c>
      <c r="AI143" s="20">
        <v>0</v>
      </c>
      <c r="AJ143" s="20">
        <v>0</v>
      </c>
      <c r="AK143" s="20">
        <v>0</v>
      </c>
      <c r="AL143" s="20">
        <v>0</v>
      </c>
      <c r="AM143" s="20">
        <v>0</v>
      </c>
      <c r="AN143" s="20">
        <v>0</v>
      </c>
      <c r="AO143" s="20">
        <v>0</v>
      </c>
      <c r="AP143" s="20">
        <v>0</v>
      </c>
      <c r="AQ143" s="20">
        <v>0</v>
      </c>
      <c r="AR143" s="20">
        <v>0</v>
      </c>
      <c r="AS143" s="20">
        <v>0</v>
      </c>
      <c r="AT143" s="20">
        <v>0</v>
      </c>
      <c r="AU143" s="20">
        <v>0</v>
      </c>
      <c r="AV143" s="20">
        <v>0</v>
      </c>
      <c r="AW143" s="20">
        <v>0</v>
      </c>
      <c r="AX143" s="20">
        <v>0</v>
      </c>
      <c r="AY143" s="20">
        <v>0</v>
      </c>
      <c r="AZ143" s="20">
        <v>0</v>
      </c>
      <c r="BA143" s="20">
        <v>0</v>
      </c>
      <c r="BB143" s="20">
        <v>0</v>
      </c>
      <c r="BC143" s="20">
        <v>0</v>
      </c>
      <c r="BD143" s="20">
        <v>0</v>
      </c>
      <c r="BE143" s="20">
        <v>0</v>
      </c>
      <c r="BF143" s="20">
        <v>0</v>
      </c>
      <c r="BG143" s="20">
        <v>0</v>
      </c>
      <c r="BH143" s="20">
        <v>0</v>
      </c>
      <c r="BI143" s="20">
        <v>0</v>
      </c>
      <c r="BJ143" s="20">
        <v>0</v>
      </c>
      <c r="BK143" s="20">
        <v>0</v>
      </c>
      <c r="BL143" s="20">
        <v>0</v>
      </c>
      <c r="BM143" s="14"/>
    </row>
    <row r="144" spans="1:65" x14ac:dyDescent="0.25">
      <c r="A144" s="17" t="str">
        <v>Peckish</v>
      </c>
      <c r="B144" s="17" t="str">
        <v>Peckish Wild Bird Mix</v>
      </c>
      <c r="C144" s="242">
        <f t="shared" si="2"/>
        <v>445.24525000000006</v>
      </c>
      <c r="D144" s="243">
        <f t="shared" si="3"/>
        <v>0.44524525000000004</v>
      </c>
      <c r="E144" s="20">
        <v>36.854999999999997</v>
      </c>
      <c r="F144" s="20">
        <v>0</v>
      </c>
      <c r="G144" s="20">
        <v>0</v>
      </c>
      <c r="H144" s="20">
        <v>0</v>
      </c>
      <c r="I144" s="20">
        <v>0</v>
      </c>
      <c r="J144" s="20">
        <v>0</v>
      </c>
      <c r="K144" s="20">
        <v>0</v>
      </c>
      <c r="L144" s="18">
        <v>60.480000000000004</v>
      </c>
      <c r="M144" s="18">
        <v>0</v>
      </c>
      <c r="N144" s="20">
        <v>0</v>
      </c>
      <c r="O144" s="20">
        <v>0</v>
      </c>
      <c r="P144" s="20">
        <v>0</v>
      </c>
      <c r="Q144" s="20">
        <v>0</v>
      </c>
      <c r="R144" s="20">
        <v>0</v>
      </c>
      <c r="S144" s="20">
        <v>119.4375</v>
      </c>
      <c r="T144" s="20">
        <v>0</v>
      </c>
      <c r="U144" s="20">
        <v>87.596250000000012</v>
      </c>
      <c r="V144" s="20">
        <v>0</v>
      </c>
      <c r="W144" s="20">
        <v>102.6165</v>
      </c>
      <c r="X144" s="20">
        <v>0</v>
      </c>
      <c r="Y144" s="20">
        <v>0</v>
      </c>
      <c r="Z144" s="20">
        <v>0</v>
      </c>
      <c r="AA144" s="20">
        <v>38.26</v>
      </c>
      <c r="AB144" s="20">
        <v>0</v>
      </c>
      <c r="AC144" s="20">
        <v>0</v>
      </c>
      <c r="AD144" s="20">
        <v>0</v>
      </c>
      <c r="AE144" s="20">
        <v>0</v>
      </c>
      <c r="AF144" s="20">
        <v>0</v>
      </c>
      <c r="AG144" s="20">
        <v>0</v>
      </c>
      <c r="AH144" s="20">
        <v>0</v>
      </c>
      <c r="AI144" s="20">
        <v>0</v>
      </c>
      <c r="AJ144" s="20">
        <v>0</v>
      </c>
      <c r="AK144" s="20">
        <v>0</v>
      </c>
      <c r="AL144" s="20">
        <v>0</v>
      </c>
      <c r="AM144" s="20">
        <v>0</v>
      </c>
      <c r="AN144" s="20">
        <v>0</v>
      </c>
      <c r="AO144" s="20">
        <v>0</v>
      </c>
      <c r="AP144" s="20">
        <v>0</v>
      </c>
      <c r="AQ144" s="20">
        <v>0</v>
      </c>
      <c r="AR144" s="20">
        <v>0</v>
      </c>
      <c r="AS144" s="20">
        <v>0</v>
      </c>
      <c r="AT144" s="20">
        <v>0</v>
      </c>
      <c r="AU144" s="20">
        <v>0</v>
      </c>
      <c r="AV144" s="20">
        <v>0</v>
      </c>
      <c r="AW144" s="20">
        <v>0</v>
      </c>
      <c r="AX144" s="20">
        <v>0</v>
      </c>
      <c r="AY144" s="20">
        <v>0</v>
      </c>
      <c r="AZ144" s="20">
        <v>0</v>
      </c>
      <c r="BA144" s="20">
        <v>0</v>
      </c>
      <c r="BB144" s="20">
        <v>0</v>
      </c>
      <c r="BC144" s="20">
        <v>0</v>
      </c>
      <c r="BD144" s="20">
        <v>0</v>
      </c>
      <c r="BE144" s="20">
        <v>0</v>
      </c>
      <c r="BF144" s="20">
        <v>0</v>
      </c>
      <c r="BG144" s="20">
        <v>0</v>
      </c>
      <c r="BH144" s="20">
        <v>0</v>
      </c>
      <c r="BI144" s="20">
        <v>0</v>
      </c>
      <c r="BJ144" s="20">
        <v>0</v>
      </c>
      <c r="BK144" s="20">
        <v>0</v>
      </c>
      <c r="BL144" s="20">
        <v>0</v>
      </c>
      <c r="BM144" s="14"/>
    </row>
    <row r="145" spans="1:65" x14ac:dyDescent="0.25">
      <c r="A145" s="17" t="str">
        <v>Peckish</v>
      </c>
      <c r="B145" s="17" t="str">
        <v>Peckish Free Range Layer Mix</v>
      </c>
      <c r="C145" s="242">
        <f t="shared" si="2"/>
        <v>498.92500000000001</v>
      </c>
      <c r="D145" s="243">
        <f t="shared" si="3"/>
        <v>0.49892500000000001</v>
      </c>
      <c r="E145" s="20">
        <v>36.854999999999997</v>
      </c>
      <c r="F145" s="20">
        <v>0</v>
      </c>
      <c r="G145" s="20">
        <v>0</v>
      </c>
      <c r="H145" s="20">
        <v>0</v>
      </c>
      <c r="I145" s="20">
        <v>0</v>
      </c>
      <c r="J145" s="20">
        <v>0</v>
      </c>
      <c r="K145" s="20">
        <v>0</v>
      </c>
      <c r="L145" s="18">
        <v>0</v>
      </c>
      <c r="M145" s="18">
        <v>0</v>
      </c>
      <c r="N145" s="20">
        <v>0</v>
      </c>
      <c r="O145" s="20">
        <v>0</v>
      </c>
      <c r="P145" s="20">
        <v>0</v>
      </c>
      <c r="Q145" s="20">
        <v>0</v>
      </c>
      <c r="R145" s="20">
        <v>0</v>
      </c>
      <c r="S145" s="20">
        <v>100.3275</v>
      </c>
      <c r="T145" s="20">
        <v>0</v>
      </c>
      <c r="U145" s="20">
        <v>93.1875</v>
      </c>
      <c r="V145" s="20">
        <v>0</v>
      </c>
      <c r="W145" s="20">
        <v>88.462500000000006</v>
      </c>
      <c r="X145" s="20">
        <v>0</v>
      </c>
      <c r="Y145" s="20">
        <v>0</v>
      </c>
      <c r="Z145" s="20">
        <v>0</v>
      </c>
      <c r="AA145" s="20">
        <v>62.172499999999992</v>
      </c>
      <c r="AB145" s="20">
        <v>0</v>
      </c>
      <c r="AC145" s="20">
        <v>95.920000000000016</v>
      </c>
      <c r="AD145" s="20">
        <v>0</v>
      </c>
      <c r="AE145" s="20">
        <v>22</v>
      </c>
      <c r="AF145" s="20">
        <v>0</v>
      </c>
      <c r="AG145" s="20">
        <v>0</v>
      </c>
      <c r="AH145" s="20">
        <v>0</v>
      </c>
      <c r="AI145" s="20">
        <v>0</v>
      </c>
      <c r="AJ145" s="20">
        <v>0</v>
      </c>
      <c r="AK145" s="20">
        <v>0</v>
      </c>
      <c r="AL145" s="20">
        <v>0</v>
      </c>
      <c r="AM145" s="20">
        <v>0</v>
      </c>
      <c r="AN145" s="20">
        <v>0</v>
      </c>
      <c r="AO145" s="20">
        <v>0</v>
      </c>
      <c r="AP145" s="20">
        <v>0</v>
      </c>
      <c r="AQ145" s="20">
        <v>0</v>
      </c>
      <c r="AR145" s="20">
        <v>0</v>
      </c>
      <c r="AS145" s="20">
        <v>0</v>
      </c>
      <c r="AT145" s="20">
        <v>0</v>
      </c>
      <c r="AU145" s="20">
        <v>0</v>
      </c>
      <c r="AV145" s="20">
        <v>0</v>
      </c>
      <c r="AW145" s="20">
        <v>0</v>
      </c>
      <c r="AX145" s="20">
        <v>0</v>
      </c>
      <c r="AY145" s="20">
        <v>0</v>
      </c>
      <c r="AZ145" s="20">
        <v>0</v>
      </c>
      <c r="BA145" s="20">
        <v>0</v>
      </c>
      <c r="BB145" s="20">
        <v>0</v>
      </c>
      <c r="BC145" s="20">
        <v>0</v>
      </c>
      <c r="BD145" s="20">
        <v>0</v>
      </c>
      <c r="BE145" s="20">
        <v>0</v>
      </c>
      <c r="BF145" s="20">
        <v>0</v>
      </c>
      <c r="BG145" s="20">
        <v>0</v>
      </c>
      <c r="BH145" s="20">
        <v>0</v>
      </c>
      <c r="BI145" s="20">
        <v>0</v>
      </c>
      <c r="BJ145" s="20">
        <v>0</v>
      </c>
      <c r="BK145" s="20">
        <v>0</v>
      </c>
      <c r="BL145" s="20">
        <v>0</v>
      </c>
      <c r="BM145" s="14"/>
    </row>
    <row r="146" spans="1:65" x14ac:dyDescent="0.25">
      <c r="A146" s="17" t="str">
        <v>Peckish</v>
      </c>
      <c r="B146" s="17" t="str">
        <v>Peckish Performance Layer Mix</v>
      </c>
      <c r="C146" s="242">
        <f t="shared" si="2"/>
        <v>575.4045000000001</v>
      </c>
      <c r="D146" s="243">
        <f t="shared" si="3"/>
        <v>0.5754045000000001</v>
      </c>
      <c r="E146" s="20">
        <v>36.854999999999997</v>
      </c>
      <c r="F146" s="20">
        <v>0</v>
      </c>
      <c r="G146" s="20">
        <v>0</v>
      </c>
      <c r="H146" s="20">
        <v>0</v>
      </c>
      <c r="I146" s="20">
        <v>0</v>
      </c>
      <c r="J146" s="20">
        <v>0</v>
      </c>
      <c r="K146" s="20">
        <v>0</v>
      </c>
      <c r="L146" s="18">
        <v>0</v>
      </c>
      <c r="M146" s="18">
        <v>0</v>
      </c>
      <c r="N146" s="20">
        <v>0</v>
      </c>
      <c r="O146" s="20">
        <v>0</v>
      </c>
      <c r="P146" s="20">
        <v>0</v>
      </c>
      <c r="Q146" s="20">
        <v>0</v>
      </c>
      <c r="R146" s="20">
        <v>0</v>
      </c>
      <c r="S146" s="20">
        <v>66.885000000000005</v>
      </c>
      <c r="T146" s="20">
        <v>0</v>
      </c>
      <c r="U146" s="20">
        <v>72.686250000000001</v>
      </c>
      <c r="V146" s="20">
        <v>0</v>
      </c>
      <c r="W146" s="20">
        <v>69.000749999999996</v>
      </c>
      <c r="X146" s="20">
        <v>0</v>
      </c>
      <c r="Y146" s="20">
        <v>0</v>
      </c>
      <c r="Z146" s="20">
        <v>0</v>
      </c>
      <c r="AA146" s="20">
        <v>33.477499999999999</v>
      </c>
      <c r="AB146" s="20">
        <v>0</v>
      </c>
      <c r="AC146" s="20">
        <v>109.00000000000001</v>
      </c>
      <c r="AD146" s="20">
        <v>0</v>
      </c>
      <c r="AE146" s="20">
        <v>0</v>
      </c>
      <c r="AF146" s="20">
        <v>0</v>
      </c>
      <c r="AG146" s="20">
        <v>0</v>
      </c>
      <c r="AH146" s="20">
        <v>0</v>
      </c>
      <c r="AI146" s="20">
        <v>0</v>
      </c>
      <c r="AJ146" s="20">
        <v>0</v>
      </c>
      <c r="AK146" s="20">
        <v>187.5</v>
      </c>
      <c r="AL146" s="20">
        <v>0</v>
      </c>
      <c r="AM146" s="20">
        <v>0</v>
      </c>
      <c r="AN146" s="20">
        <v>0</v>
      </c>
      <c r="AO146" s="20">
        <v>0</v>
      </c>
      <c r="AP146" s="20">
        <v>0</v>
      </c>
      <c r="AQ146" s="20">
        <v>0</v>
      </c>
      <c r="AR146" s="20">
        <v>0</v>
      </c>
      <c r="AS146" s="20">
        <v>0</v>
      </c>
      <c r="AT146" s="20">
        <v>0</v>
      </c>
      <c r="AU146" s="20">
        <v>0</v>
      </c>
      <c r="AV146" s="20">
        <v>0</v>
      </c>
      <c r="AW146" s="20">
        <v>0</v>
      </c>
      <c r="AX146" s="20">
        <v>0</v>
      </c>
      <c r="AY146" s="20">
        <v>0</v>
      </c>
      <c r="AZ146" s="20">
        <v>0</v>
      </c>
      <c r="BA146" s="20">
        <v>0</v>
      </c>
      <c r="BB146" s="20">
        <v>0</v>
      </c>
      <c r="BC146" s="20">
        <v>0</v>
      </c>
      <c r="BD146" s="20">
        <v>0</v>
      </c>
      <c r="BE146" s="20">
        <v>0</v>
      </c>
      <c r="BF146" s="20">
        <v>0</v>
      </c>
      <c r="BG146" s="20">
        <v>0</v>
      </c>
      <c r="BH146" s="20">
        <v>0</v>
      </c>
      <c r="BI146" s="20">
        <v>0</v>
      </c>
      <c r="BJ146" s="20">
        <v>0</v>
      </c>
      <c r="BK146" s="20">
        <v>0</v>
      </c>
      <c r="BL146" s="20">
        <v>0</v>
      </c>
      <c r="BM146" s="14"/>
    </row>
    <row r="147" spans="1:65" x14ac:dyDescent="0.25">
      <c r="A147" s="17" t="str">
        <v>Peckish</v>
      </c>
      <c r="B147" s="17" t="str">
        <v>Peckish Pigeon Mix</v>
      </c>
      <c r="C147" s="242">
        <f t="shared" si="2"/>
        <v>521.88900000000001</v>
      </c>
      <c r="D147" s="243">
        <f t="shared" si="3"/>
        <v>0.52188900000000005</v>
      </c>
      <c r="E147" s="20">
        <v>0</v>
      </c>
      <c r="F147" s="20">
        <v>0</v>
      </c>
      <c r="G147" s="20">
        <v>0</v>
      </c>
      <c r="H147" s="20">
        <v>38.587500000000006</v>
      </c>
      <c r="I147" s="20">
        <v>0</v>
      </c>
      <c r="J147" s="20">
        <v>0</v>
      </c>
      <c r="K147" s="20">
        <v>65.152500000000003</v>
      </c>
      <c r="L147" s="18">
        <v>0</v>
      </c>
      <c r="M147" s="18">
        <v>0</v>
      </c>
      <c r="N147" s="20">
        <v>0</v>
      </c>
      <c r="O147" s="20">
        <v>202.55775000000003</v>
      </c>
      <c r="P147" s="20">
        <v>0</v>
      </c>
      <c r="Q147" s="20">
        <v>0</v>
      </c>
      <c r="R147" s="20">
        <v>0</v>
      </c>
      <c r="S147" s="20">
        <v>107.49375000000001</v>
      </c>
      <c r="T147" s="20">
        <v>0</v>
      </c>
      <c r="U147" s="20">
        <v>108.09750000000001</v>
      </c>
      <c r="V147" s="20">
        <v>0</v>
      </c>
      <c r="W147" s="20">
        <v>0</v>
      </c>
      <c r="X147" s="20">
        <v>0</v>
      </c>
      <c r="Y147" s="20">
        <v>0</v>
      </c>
      <c r="Z147" s="20">
        <v>0</v>
      </c>
      <c r="AA147" s="20">
        <v>0</v>
      </c>
      <c r="AB147" s="20">
        <v>0</v>
      </c>
      <c r="AC147" s="20">
        <v>0</v>
      </c>
      <c r="AD147" s="20">
        <v>0</v>
      </c>
      <c r="AE147" s="20">
        <v>0</v>
      </c>
      <c r="AF147" s="20">
        <v>0</v>
      </c>
      <c r="AG147" s="20">
        <v>0</v>
      </c>
      <c r="AH147" s="20">
        <v>0</v>
      </c>
      <c r="AI147" s="20">
        <v>0</v>
      </c>
      <c r="AJ147" s="20">
        <v>0</v>
      </c>
      <c r="AK147" s="20">
        <v>0</v>
      </c>
      <c r="AL147" s="20">
        <v>0</v>
      </c>
      <c r="AM147" s="20">
        <v>0</v>
      </c>
      <c r="AN147" s="20">
        <v>0</v>
      </c>
      <c r="AO147" s="20">
        <v>0</v>
      </c>
      <c r="AP147" s="20">
        <v>0</v>
      </c>
      <c r="AQ147" s="20">
        <v>0</v>
      </c>
      <c r="AR147" s="20">
        <v>0</v>
      </c>
      <c r="AS147" s="20">
        <v>0</v>
      </c>
      <c r="AT147" s="20">
        <v>0</v>
      </c>
      <c r="AU147" s="20">
        <v>0</v>
      </c>
      <c r="AV147" s="20">
        <v>0</v>
      </c>
      <c r="AW147" s="20">
        <v>0</v>
      </c>
      <c r="AX147" s="20">
        <v>0</v>
      </c>
      <c r="AY147" s="20">
        <v>0</v>
      </c>
      <c r="AZ147" s="20">
        <v>0</v>
      </c>
      <c r="BA147" s="20">
        <v>0</v>
      </c>
      <c r="BB147" s="20">
        <v>0</v>
      </c>
      <c r="BC147" s="20">
        <v>0</v>
      </c>
      <c r="BD147" s="20">
        <v>0</v>
      </c>
      <c r="BE147" s="20">
        <v>0</v>
      </c>
      <c r="BF147" s="20">
        <v>0</v>
      </c>
      <c r="BG147" s="20">
        <v>0</v>
      </c>
      <c r="BH147" s="20">
        <v>0</v>
      </c>
      <c r="BI147" s="20">
        <v>0</v>
      </c>
      <c r="BJ147" s="20">
        <v>0</v>
      </c>
      <c r="BK147" s="20">
        <v>0</v>
      </c>
      <c r="BL147" s="20">
        <v>0</v>
      </c>
      <c r="BM147" s="14"/>
    </row>
    <row r="148" spans="1:65" x14ac:dyDescent="0.25">
      <c r="A148" s="17" t="str">
        <v>Peckish</v>
      </c>
      <c r="B148" s="17" t="str">
        <v>Peckish Wheat</v>
      </c>
      <c r="C148" s="242">
        <f t="shared" si="2"/>
        <v>372.75</v>
      </c>
      <c r="D148" s="243">
        <f t="shared" si="3"/>
        <v>0.37275000000000003</v>
      </c>
      <c r="E148" s="20">
        <v>0</v>
      </c>
      <c r="F148" s="20">
        <v>0</v>
      </c>
      <c r="G148" s="20">
        <v>0</v>
      </c>
      <c r="H148" s="20">
        <v>0</v>
      </c>
      <c r="I148" s="20">
        <v>0</v>
      </c>
      <c r="J148" s="20">
        <v>0</v>
      </c>
      <c r="K148" s="20">
        <v>0</v>
      </c>
      <c r="L148" s="18">
        <v>0</v>
      </c>
      <c r="M148" s="18">
        <v>0</v>
      </c>
      <c r="N148" s="20">
        <v>0</v>
      </c>
      <c r="O148" s="20">
        <v>0</v>
      </c>
      <c r="P148" s="20">
        <v>0</v>
      </c>
      <c r="Q148" s="20">
        <v>0</v>
      </c>
      <c r="R148" s="20">
        <v>0</v>
      </c>
      <c r="S148" s="20">
        <v>0</v>
      </c>
      <c r="T148" s="20">
        <v>0</v>
      </c>
      <c r="U148" s="20">
        <v>372.75</v>
      </c>
      <c r="V148" s="20">
        <v>0</v>
      </c>
      <c r="W148" s="20">
        <v>0</v>
      </c>
      <c r="X148" s="20">
        <v>0</v>
      </c>
      <c r="Y148" s="20">
        <v>0</v>
      </c>
      <c r="Z148" s="20">
        <v>0</v>
      </c>
      <c r="AA148" s="20">
        <v>0</v>
      </c>
      <c r="AB148" s="20">
        <v>0</v>
      </c>
      <c r="AC148" s="20">
        <v>0</v>
      </c>
      <c r="AD148" s="20">
        <v>0</v>
      </c>
      <c r="AE148" s="20">
        <v>0</v>
      </c>
      <c r="AF148" s="20">
        <v>0</v>
      </c>
      <c r="AG148" s="20">
        <v>0</v>
      </c>
      <c r="AH148" s="20">
        <v>0</v>
      </c>
      <c r="AI148" s="20">
        <v>0</v>
      </c>
      <c r="AJ148" s="20">
        <v>0</v>
      </c>
      <c r="AK148" s="20">
        <v>0</v>
      </c>
      <c r="AL148" s="20">
        <v>0</v>
      </c>
      <c r="AM148" s="20">
        <v>0</v>
      </c>
      <c r="AN148" s="20">
        <v>0</v>
      </c>
      <c r="AO148" s="20">
        <v>0</v>
      </c>
      <c r="AP148" s="20">
        <v>0</v>
      </c>
      <c r="AQ148" s="20">
        <v>0</v>
      </c>
      <c r="AR148" s="20">
        <v>0</v>
      </c>
      <c r="AS148" s="20">
        <v>0</v>
      </c>
      <c r="AT148" s="20">
        <v>0</v>
      </c>
      <c r="AU148" s="20">
        <v>0</v>
      </c>
      <c r="AV148" s="20">
        <v>0</v>
      </c>
      <c r="AW148" s="20">
        <v>0</v>
      </c>
      <c r="AX148" s="20">
        <v>0</v>
      </c>
      <c r="AY148" s="20">
        <v>0</v>
      </c>
      <c r="AZ148" s="20">
        <v>0</v>
      </c>
      <c r="BA148" s="20">
        <v>0</v>
      </c>
      <c r="BB148" s="20">
        <v>0</v>
      </c>
      <c r="BC148" s="20">
        <v>0</v>
      </c>
      <c r="BD148" s="20">
        <v>0</v>
      </c>
      <c r="BE148" s="20">
        <v>0</v>
      </c>
      <c r="BF148" s="20">
        <v>0</v>
      </c>
      <c r="BG148" s="20">
        <v>0</v>
      </c>
      <c r="BH148" s="20">
        <v>0</v>
      </c>
      <c r="BI148" s="20">
        <v>0</v>
      </c>
      <c r="BJ148" s="20">
        <v>0</v>
      </c>
      <c r="BK148" s="20">
        <v>0</v>
      </c>
      <c r="BL148" s="20">
        <v>0</v>
      </c>
      <c r="BM148" s="14"/>
    </row>
    <row r="149" spans="1:65" x14ac:dyDescent="0.25">
      <c r="A149" s="17" t="str">
        <v>VDP</v>
      </c>
      <c r="B149" s="17" t="str">
        <v>VDP Budgie Mix</v>
      </c>
      <c r="C149" s="242">
        <f t="shared" si="2"/>
        <v>989.88</v>
      </c>
      <c r="D149" s="243">
        <f t="shared" si="3"/>
        <v>1.0530638297872341</v>
      </c>
      <c r="E149" s="20">
        <v>0</v>
      </c>
      <c r="F149" s="20">
        <v>0</v>
      </c>
      <c r="G149" s="20">
        <v>0</v>
      </c>
      <c r="H149" s="20">
        <v>0</v>
      </c>
      <c r="I149" s="20">
        <v>217.07999999999998</v>
      </c>
      <c r="J149" s="20">
        <v>0</v>
      </c>
      <c r="K149" s="20">
        <v>0</v>
      </c>
      <c r="L149" s="18">
        <v>0</v>
      </c>
      <c r="M149" s="18">
        <v>0</v>
      </c>
      <c r="N149" s="20">
        <v>181.44</v>
      </c>
      <c r="O149" s="20">
        <v>0</v>
      </c>
      <c r="P149" s="20">
        <v>66.36</v>
      </c>
      <c r="Q149" s="20">
        <v>0</v>
      </c>
      <c r="R149" s="20">
        <v>0</v>
      </c>
      <c r="S149" s="20">
        <v>0</v>
      </c>
      <c r="T149" s="20">
        <v>0</v>
      </c>
      <c r="U149" s="20">
        <v>0</v>
      </c>
      <c r="V149" s="20">
        <v>525</v>
      </c>
      <c r="W149" s="20">
        <v>0</v>
      </c>
      <c r="X149" s="20">
        <v>0</v>
      </c>
      <c r="Y149" s="20">
        <v>0</v>
      </c>
      <c r="Z149" s="20">
        <v>0</v>
      </c>
      <c r="AA149" s="20">
        <v>0</v>
      </c>
      <c r="AB149" s="20">
        <v>0</v>
      </c>
      <c r="AC149" s="20">
        <v>0</v>
      </c>
      <c r="AD149" s="20">
        <v>0</v>
      </c>
      <c r="AE149" s="20">
        <v>0</v>
      </c>
      <c r="AF149" s="20">
        <v>0</v>
      </c>
      <c r="AG149" s="20">
        <v>0</v>
      </c>
      <c r="AH149" s="20">
        <v>0</v>
      </c>
      <c r="AI149" s="20">
        <v>0</v>
      </c>
      <c r="AJ149" s="20">
        <v>0</v>
      </c>
      <c r="AK149" s="20">
        <v>0</v>
      </c>
      <c r="AL149" s="20">
        <v>0</v>
      </c>
      <c r="AM149" s="20">
        <v>0</v>
      </c>
      <c r="AN149" s="20">
        <v>0</v>
      </c>
      <c r="AO149" s="20">
        <v>0</v>
      </c>
      <c r="AP149" s="20">
        <v>0</v>
      </c>
      <c r="AQ149" s="20">
        <v>0</v>
      </c>
      <c r="AR149" s="20">
        <v>0</v>
      </c>
      <c r="AS149" s="20">
        <v>0</v>
      </c>
      <c r="AT149" s="20">
        <v>0</v>
      </c>
      <c r="AU149" s="20">
        <v>0</v>
      </c>
      <c r="AV149" s="20">
        <v>0</v>
      </c>
      <c r="AW149" s="20">
        <v>0</v>
      </c>
      <c r="AX149" s="20">
        <v>0</v>
      </c>
      <c r="AY149" s="20">
        <v>0</v>
      </c>
      <c r="AZ149" s="20">
        <v>0</v>
      </c>
      <c r="BA149" s="20">
        <v>0</v>
      </c>
      <c r="BB149" s="20">
        <v>0</v>
      </c>
      <c r="BC149" s="20">
        <v>0</v>
      </c>
      <c r="BD149" s="20">
        <v>0</v>
      </c>
      <c r="BE149" s="20">
        <v>0</v>
      </c>
      <c r="BF149" s="20">
        <v>0</v>
      </c>
      <c r="BG149" s="20">
        <v>0</v>
      </c>
      <c r="BH149" s="20">
        <v>0</v>
      </c>
      <c r="BI149" s="20">
        <v>0</v>
      </c>
      <c r="BJ149" s="20">
        <v>0</v>
      </c>
      <c r="BK149" s="20">
        <v>0</v>
      </c>
      <c r="BL149" s="20">
        <v>0</v>
      </c>
      <c r="BM149" s="14"/>
    </row>
    <row r="150" spans="1:65" x14ac:dyDescent="0.25">
      <c r="A150" s="17" t="str">
        <v>VDP</v>
      </c>
      <c r="B150" s="17" t="str">
        <v>VDP Canary Mix</v>
      </c>
      <c r="C150" s="242">
        <f t="shared" si="2"/>
        <v>587.5</v>
      </c>
      <c r="D150" s="243">
        <f t="shared" si="3"/>
        <v>1.3055555555555556</v>
      </c>
      <c r="E150" s="20">
        <v>0</v>
      </c>
      <c r="F150" s="20">
        <v>0</v>
      </c>
      <c r="G150" s="20">
        <v>13.260000000000002</v>
      </c>
      <c r="H150" s="20">
        <v>0</v>
      </c>
      <c r="I150" s="20">
        <v>108.53999999999999</v>
      </c>
      <c r="J150" s="20">
        <v>20.5</v>
      </c>
      <c r="K150" s="20">
        <v>0</v>
      </c>
      <c r="L150" s="18">
        <v>0</v>
      </c>
      <c r="M150" s="18">
        <v>0</v>
      </c>
      <c r="N150" s="20">
        <v>113.39999999999999</v>
      </c>
      <c r="O150" s="20">
        <v>0</v>
      </c>
      <c r="P150" s="20">
        <v>331.8</v>
      </c>
      <c r="Q150" s="20">
        <v>0</v>
      </c>
      <c r="R150" s="20">
        <v>0</v>
      </c>
      <c r="S150" s="20">
        <v>0</v>
      </c>
      <c r="T150" s="20">
        <v>0</v>
      </c>
      <c r="U150" s="20">
        <v>0</v>
      </c>
      <c r="V150" s="20">
        <v>0</v>
      </c>
      <c r="W150" s="20">
        <v>0</v>
      </c>
      <c r="X150" s="20">
        <v>0</v>
      </c>
      <c r="Y150" s="20">
        <v>0</v>
      </c>
      <c r="Z150" s="20">
        <v>0</v>
      </c>
      <c r="AA150" s="20">
        <v>0</v>
      </c>
      <c r="AB150" s="20">
        <v>0</v>
      </c>
      <c r="AC150" s="20">
        <v>0</v>
      </c>
      <c r="AD150" s="20">
        <v>0</v>
      </c>
      <c r="AE150" s="20">
        <v>0</v>
      </c>
      <c r="AF150" s="20">
        <v>0</v>
      </c>
      <c r="AG150" s="20">
        <v>0</v>
      </c>
      <c r="AH150" s="20">
        <v>0</v>
      </c>
      <c r="AI150" s="20">
        <v>0</v>
      </c>
      <c r="AJ150" s="20">
        <v>0</v>
      </c>
      <c r="AK150" s="20">
        <v>0</v>
      </c>
      <c r="AL150" s="20">
        <v>0</v>
      </c>
      <c r="AM150" s="20">
        <v>0</v>
      </c>
      <c r="AN150" s="20">
        <v>0</v>
      </c>
      <c r="AO150" s="20">
        <v>0</v>
      </c>
      <c r="AP150" s="20">
        <v>0</v>
      </c>
      <c r="AQ150" s="20">
        <v>0</v>
      </c>
      <c r="AR150" s="20">
        <v>0</v>
      </c>
      <c r="AS150" s="20">
        <v>0</v>
      </c>
      <c r="AT150" s="20">
        <v>0</v>
      </c>
      <c r="AU150" s="20">
        <v>0</v>
      </c>
      <c r="AV150" s="20">
        <v>0</v>
      </c>
      <c r="AW150" s="20">
        <v>0</v>
      </c>
      <c r="AX150" s="20">
        <v>0</v>
      </c>
      <c r="AY150" s="20">
        <v>0</v>
      </c>
      <c r="AZ150" s="20">
        <v>0</v>
      </c>
      <c r="BA150" s="20">
        <v>0</v>
      </c>
      <c r="BB150" s="20">
        <v>0</v>
      </c>
      <c r="BC150" s="20">
        <v>0</v>
      </c>
      <c r="BD150" s="20">
        <v>0</v>
      </c>
      <c r="BE150" s="20">
        <v>0</v>
      </c>
      <c r="BF150" s="20">
        <v>0</v>
      </c>
      <c r="BG150" s="20">
        <v>0</v>
      </c>
      <c r="BH150" s="20">
        <v>0</v>
      </c>
      <c r="BI150" s="20">
        <v>0</v>
      </c>
      <c r="BJ150" s="20">
        <v>0</v>
      </c>
      <c r="BK150" s="20">
        <v>0</v>
      </c>
      <c r="BL150" s="20">
        <v>0</v>
      </c>
      <c r="BM150" s="14"/>
    </row>
    <row r="151" spans="1:65" x14ac:dyDescent="0.25">
      <c r="A151" s="17" t="str">
        <v>VDP</v>
      </c>
      <c r="B151" s="17" t="str">
        <v>VDP Chook Grain</v>
      </c>
      <c r="C151" s="242">
        <f t="shared" si="2"/>
        <v>510.85950000000003</v>
      </c>
      <c r="D151" s="243">
        <f t="shared" si="3"/>
        <v>0.47301805555555559</v>
      </c>
      <c r="E151" s="20">
        <v>29.483999999999998</v>
      </c>
      <c r="F151" s="20">
        <v>0</v>
      </c>
      <c r="G151" s="20">
        <v>0</v>
      </c>
      <c r="H151" s="20">
        <v>0</v>
      </c>
      <c r="I151" s="20">
        <v>0</v>
      </c>
      <c r="J151" s="20">
        <v>0</v>
      </c>
      <c r="K151" s="20">
        <v>0</v>
      </c>
      <c r="L151" s="18">
        <v>0</v>
      </c>
      <c r="M151" s="18">
        <v>0</v>
      </c>
      <c r="N151" s="20">
        <v>0</v>
      </c>
      <c r="O151" s="20">
        <v>0</v>
      </c>
      <c r="P151" s="20">
        <v>0</v>
      </c>
      <c r="Q151" s="20">
        <v>0</v>
      </c>
      <c r="R151" s="20">
        <v>0</v>
      </c>
      <c r="S151" s="20">
        <v>47.774999999999999</v>
      </c>
      <c r="T151" s="20">
        <v>0</v>
      </c>
      <c r="U151" s="20">
        <v>208.74</v>
      </c>
      <c r="V151" s="20">
        <v>0</v>
      </c>
      <c r="W151" s="20">
        <v>28.308</v>
      </c>
      <c r="X151" s="20">
        <v>0</v>
      </c>
      <c r="Y151" s="20">
        <v>0</v>
      </c>
      <c r="Z151" s="20">
        <v>0</v>
      </c>
      <c r="AA151" s="20">
        <v>100.43249999999999</v>
      </c>
      <c r="AB151" s="20">
        <v>0</v>
      </c>
      <c r="AC151" s="20">
        <v>74.12</v>
      </c>
      <c r="AD151" s="20">
        <v>0</v>
      </c>
      <c r="AE151" s="20">
        <v>22</v>
      </c>
      <c r="AF151" s="20">
        <v>0</v>
      </c>
      <c r="AG151" s="20">
        <v>0</v>
      </c>
      <c r="AH151" s="20">
        <v>0</v>
      </c>
      <c r="AI151" s="20">
        <v>0</v>
      </c>
      <c r="AJ151" s="20">
        <v>0</v>
      </c>
      <c r="AK151" s="20">
        <v>0</v>
      </c>
      <c r="AL151" s="20">
        <v>0</v>
      </c>
      <c r="AM151" s="20">
        <v>0</v>
      </c>
      <c r="AN151" s="20">
        <v>0</v>
      </c>
      <c r="AO151" s="20">
        <v>0</v>
      </c>
      <c r="AP151" s="20">
        <v>0</v>
      </c>
      <c r="AQ151" s="20">
        <v>0</v>
      </c>
      <c r="AR151" s="20">
        <v>0</v>
      </c>
      <c r="AS151" s="20">
        <v>0</v>
      </c>
      <c r="AT151" s="20">
        <v>0</v>
      </c>
      <c r="AU151" s="20">
        <v>0</v>
      </c>
      <c r="AV151" s="20">
        <v>0</v>
      </c>
      <c r="AW151" s="20">
        <v>0</v>
      </c>
      <c r="AX151" s="20">
        <v>0</v>
      </c>
      <c r="AY151" s="20">
        <v>0</v>
      </c>
      <c r="AZ151" s="20">
        <v>0</v>
      </c>
      <c r="BA151" s="20">
        <v>0</v>
      </c>
      <c r="BB151" s="20">
        <v>0</v>
      </c>
      <c r="BC151" s="20">
        <v>0</v>
      </c>
      <c r="BD151" s="20">
        <v>0</v>
      </c>
      <c r="BE151" s="20">
        <v>0</v>
      </c>
      <c r="BF151" s="20">
        <v>0</v>
      </c>
      <c r="BG151" s="20">
        <v>0</v>
      </c>
      <c r="BH151" s="20">
        <v>0</v>
      </c>
      <c r="BI151" s="20">
        <v>0</v>
      </c>
      <c r="BJ151" s="20">
        <v>0</v>
      </c>
      <c r="BK151" s="20">
        <v>0</v>
      </c>
      <c r="BL151" s="20">
        <v>0</v>
      </c>
      <c r="BM151" s="14"/>
    </row>
    <row r="152" spans="1:65" x14ac:dyDescent="0.25">
      <c r="A152" s="17" t="str">
        <v>VDP</v>
      </c>
      <c r="B152" s="17" t="str">
        <v>VDP Finch</v>
      </c>
      <c r="C152" s="242">
        <f t="shared" si="2"/>
        <v>572.47</v>
      </c>
      <c r="D152" s="243">
        <f t="shared" si="3"/>
        <v>1.1926458333333334</v>
      </c>
      <c r="E152" s="20">
        <v>0</v>
      </c>
      <c r="F152" s="20">
        <v>0</v>
      </c>
      <c r="G152" s="20">
        <v>6.6300000000000008</v>
      </c>
      <c r="H152" s="20">
        <v>0</v>
      </c>
      <c r="I152" s="20">
        <v>108.53999999999999</v>
      </c>
      <c r="J152" s="20">
        <v>20.5</v>
      </c>
      <c r="K152" s="20">
        <v>0</v>
      </c>
      <c r="L152" s="18">
        <v>0</v>
      </c>
      <c r="M152" s="18">
        <v>0</v>
      </c>
      <c r="N152" s="20">
        <v>90.72</v>
      </c>
      <c r="O152" s="20">
        <v>0</v>
      </c>
      <c r="P152" s="20">
        <v>199.08</v>
      </c>
      <c r="Q152" s="20">
        <v>0</v>
      </c>
      <c r="R152" s="20">
        <v>0</v>
      </c>
      <c r="S152" s="20">
        <v>0</v>
      </c>
      <c r="T152" s="20">
        <v>0</v>
      </c>
      <c r="U152" s="20">
        <v>0</v>
      </c>
      <c r="V152" s="20">
        <v>147</v>
      </c>
      <c r="W152" s="20">
        <v>0</v>
      </c>
      <c r="X152" s="20">
        <v>0</v>
      </c>
      <c r="Y152" s="20">
        <v>0</v>
      </c>
      <c r="Z152" s="20">
        <v>0</v>
      </c>
      <c r="AA152" s="20">
        <v>0</v>
      </c>
      <c r="AB152" s="20">
        <v>0</v>
      </c>
      <c r="AC152" s="20">
        <v>0</v>
      </c>
      <c r="AD152" s="20">
        <v>0</v>
      </c>
      <c r="AE152" s="20">
        <v>0</v>
      </c>
      <c r="AF152" s="20">
        <v>0</v>
      </c>
      <c r="AG152" s="20">
        <v>0</v>
      </c>
      <c r="AH152" s="20">
        <v>0</v>
      </c>
      <c r="AI152" s="20">
        <v>0</v>
      </c>
      <c r="AJ152" s="20">
        <v>0</v>
      </c>
      <c r="AK152" s="20">
        <v>0</v>
      </c>
      <c r="AL152" s="20">
        <v>0</v>
      </c>
      <c r="AM152" s="20">
        <v>0</v>
      </c>
      <c r="AN152" s="20">
        <v>0</v>
      </c>
      <c r="AO152" s="20">
        <v>0</v>
      </c>
      <c r="AP152" s="20">
        <v>0</v>
      </c>
      <c r="AQ152" s="20">
        <v>0</v>
      </c>
      <c r="AR152" s="20">
        <v>0</v>
      </c>
      <c r="AS152" s="20">
        <v>0</v>
      </c>
      <c r="AT152" s="20">
        <v>0</v>
      </c>
      <c r="AU152" s="20">
        <v>0</v>
      </c>
      <c r="AV152" s="20">
        <v>0</v>
      </c>
      <c r="AW152" s="20">
        <v>0</v>
      </c>
      <c r="AX152" s="20">
        <v>0</v>
      </c>
      <c r="AY152" s="20">
        <v>0</v>
      </c>
      <c r="AZ152" s="20">
        <v>0</v>
      </c>
      <c r="BA152" s="20">
        <v>0</v>
      </c>
      <c r="BB152" s="20">
        <v>0</v>
      </c>
      <c r="BC152" s="20">
        <v>0</v>
      </c>
      <c r="BD152" s="20">
        <v>0</v>
      </c>
      <c r="BE152" s="20">
        <v>0</v>
      </c>
      <c r="BF152" s="20">
        <v>0</v>
      </c>
      <c r="BG152" s="20">
        <v>0</v>
      </c>
      <c r="BH152" s="20">
        <v>0</v>
      </c>
      <c r="BI152" s="20">
        <v>0</v>
      </c>
      <c r="BJ152" s="20">
        <v>0</v>
      </c>
      <c r="BK152" s="20">
        <v>0</v>
      </c>
      <c r="BL152" s="20">
        <v>0</v>
      </c>
      <c r="BM152" s="14"/>
    </row>
    <row r="153" spans="1:65" x14ac:dyDescent="0.25">
      <c r="A153" s="17" t="str">
        <v>VDP</v>
      </c>
      <c r="B153" s="17" t="str">
        <v>VDP Lovebird</v>
      </c>
      <c r="C153" s="242">
        <f t="shared" si="2"/>
        <v>922.46825000000001</v>
      </c>
      <c r="D153" s="243">
        <f t="shared" si="3"/>
        <v>0.96090442708333335</v>
      </c>
      <c r="E153" s="20">
        <v>88.451999999999998</v>
      </c>
      <c r="F153" s="20">
        <v>0</v>
      </c>
      <c r="G153" s="20">
        <v>0</v>
      </c>
      <c r="H153" s="20">
        <v>92.61</v>
      </c>
      <c r="I153" s="20">
        <v>198.98999999999998</v>
      </c>
      <c r="J153" s="20">
        <v>10.25</v>
      </c>
      <c r="K153" s="20">
        <v>0</v>
      </c>
      <c r="L153" s="18">
        <v>0</v>
      </c>
      <c r="M153" s="18">
        <v>0</v>
      </c>
      <c r="N153" s="20">
        <v>158.76</v>
      </c>
      <c r="O153" s="20">
        <v>0</v>
      </c>
      <c r="P153" s="20">
        <v>0</v>
      </c>
      <c r="Q153" s="20">
        <v>0</v>
      </c>
      <c r="R153" s="20">
        <v>46.62</v>
      </c>
      <c r="S153" s="20">
        <v>9.5549999999999997</v>
      </c>
      <c r="T153" s="20">
        <v>0</v>
      </c>
      <c r="U153" s="20">
        <v>65.231250000000003</v>
      </c>
      <c r="V153" s="20">
        <v>252</v>
      </c>
      <c r="W153" s="20">
        <v>0</v>
      </c>
      <c r="X153" s="20">
        <v>0</v>
      </c>
      <c r="Y153" s="20">
        <v>0</v>
      </c>
      <c r="Z153" s="20">
        <v>0</v>
      </c>
      <c r="AA153" s="20">
        <v>0</v>
      </c>
      <c r="AB153" s="20">
        <v>0</v>
      </c>
      <c r="AC153" s="20">
        <v>0</v>
      </c>
      <c r="AD153" s="20">
        <v>0</v>
      </c>
      <c r="AE153" s="20">
        <v>0</v>
      </c>
      <c r="AF153" s="20">
        <v>0</v>
      </c>
      <c r="AG153" s="20">
        <v>0</v>
      </c>
      <c r="AH153" s="20">
        <v>0</v>
      </c>
      <c r="AI153" s="20">
        <v>0</v>
      </c>
      <c r="AJ153" s="20">
        <v>0</v>
      </c>
      <c r="AK153" s="20">
        <v>0</v>
      </c>
      <c r="AL153" s="20">
        <v>0</v>
      </c>
      <c r="AM153" s="20">
        <v>0</v>
      </c>
      <c r="AN153" s="20">
        <v>0</v>
      </c>
      <c r="AO153" s="20">
        <v>0</v>
      </c>
      <c r="AP153" s="20">
        <v>0</v>
      </c>
      <c r="AQ153" s="20">
        <v>0</v>
      </c>
      <c r="AR153" s="20">
        <v>0</v>
      </c>
      <c r="AS153" s="20">
        <v>0</v>
      </c>
      <c r="AT153" s="20">
        <v>0</v>
      </c>
      <c r="AU153" s="20">
        <v>0</v>
      </c>
      <c r="AV153" s="20">
        <v>0</v>
      </c>
      <c r="AW153" s="20">
        <v>0</v>
      </c>
      <c r="AX153" s="20">
        <v>0</v>
      </c>
      <c r="AY153" s="20">
        <v>0</v>
      </c>
      <c r="AZ153" s="20">
        <v>0</v>
      </c>
      <c r="BA153" s="20">
        <v>0</v>
      </c>
      <c r="BB153" s="20">
        <v>0</v>
      </c>
      <c r="BC153" s="20">
        <v>0</v>
      </c>
      <c r="BD153" s="20">
        <v>0</v>
      </c>
      <c r="BE153" s="20">
        <v>0</v>
      </c>
      <c r="BF153" s="20">
        <v>0</v>
      </c>
      <c r="BG153" s="20">
        <v>0</v>
      </c>
      <c r="BH153" s="20">
        <v>0</v>
      </c>
      <c r="BI153" s="20">
        <v>0</v>
      </c>
      <c r="BJ153" s="20">
        <v>0</v>
      </c>
      <c r="BK153" s="20">
        <v>0</v>
      </c>
      <c r="BL153" s="20">
        <v>0</v>
      </c>
      <c r="BM153" s="14"/>
    </row>
    <row r="154" spans="1:65" x14ac:dyDescent="0.25">
      <c r="A154" s="17" t="str">
        <v>VDP</v>
      </c>
      <c r="B154" s="17" t="str">
        <v>VDP Pigeon</v>
      </c>
      <c r="C154" s="242">
        <f t="shared" si="2"/>
        <v>502.31274999999999</v>
      </c>
      <c r="D154" s="243">
        <f t="shared" si="3"/>
        <v>0.49981368159203982</v>
      </c>
      <c r="E154" s="20">
        <v>0</v>
      </c>
      <c r="F154" s="20">
        <v>0</v>
      </c>
      <c r="G154" s="20">
        <v>0</v>
      </c>
      <c r="H154" s="20">
        <v>0</v>
      </c>
      <c r="I154" s="20">
        <v>0</v>
      </c>
      <c r="J154" s="20">
        <v>0</v>
      </c>
      <c r="K154" s="20">
        <v>0</v>
      </c>
      <c r="L154" s="18">
        <v>0</v>
      </c>
      <c r="M154" s="18">
        <v>0</v>
      </c>
      <c r="N154" s="20">
        <v>0</v>
      </c>
      <c r="O154" s="20">
        <v>167.63400000000001</v>
      </c>
      <c r="P154" s="20">
        <v>0</v>
      </c>
      <c r="Q154" s="20">
        <v>0</v>
      </c>
      <c r="R154" s="20">
        <v>23.31</v>
      </c>
      <c r="S154" s="20">
        <v>85.995000000000005</v>
      </c>
      <c r="T154" s="20">
        <v>0</v>
      </c>
      <c r="U154" s="20">
        <v>158.41875000000002</v>
      </c>
      <c r="V154" s="20">
        <v>0</v>
      </c>
      <c r="W154" s="20">
        <v>0</v>
      </c>
      <c r="X154" s="20">
        <v>0</v>
      </c>
      <c r="Y154" s="20">
        <v>0</v>
      </c>
      <c r="Z154" s="20">
        <v>0</v>
      </c>
      <c r="AA154" s="20">
        <v>66.954999999999998</v>
      </c>
      <c r="AB154" s="20">
        <v>0</v>
      </c>
      <c r="AC154" s="20">
        <v>0</v>
      </c>
      <c r="AD154" s="20">
        <v>0</v>
      </c>
      <c r="AE154" s="20">
        <v>0</v>
      </c>
      <c r="AF154" s="20">
        <v>0</v>
      </c>
      <c r="AG154" s="20">
        <v>0</v>
      </c>
      <c r="AH154" s="20">
        <v>0</v>
      </c>
      <c r="AI154" s="20">
        <v>0</v>
      </c>
      <c r="AJ154" s="20">
        <v>0</v>
      </c>
      <c r="AK154" s="20">
        <v>0</v>
      </c>
      <c r="AL154" s="20">
        <v>0</v>
      </c>
      <c r="AM154" s="20">
        <v>0</v>
      </c>
      <c r="AN154" s="20">
        <v>0</v>
      </c>
      <c r="AO154" s="20">
        <v>0</v>
      </c>
      <c r="AP154" s="20">
        <v>0</v>
      </c>
      <c r="AQ154" s="20">
        <v>0</v>
      </c>
      <c r="AR154" s="20">
        <v>0</v>
      </c>
      <c r="AS154" s="20">
        <v>0</v>
      </c>
      <c r="AT154" s="20">
        <v>0</v>
      </c>
      <c r="AU154" s="20">
        <v>0</v>
      </c>
      <c r="AV154" s="20">
        <v>0</v>
      </c>
      <c r="AW154" s="20">
        <v>0</v>
      </c>
      <c r="AX154" s="20">
        <v>0</v>
      </c>
      <c r="AY154" s="20">
        <v>0</v>
      </c>
      <c r="AZ154" s="20">
        <v>0</v>
      </c>
      <c r="BA154" s="20">
        <v>0</v>
      </c>
      <c r="BB154" s="20">
        <v>0</v>
      </c>
      <c r="BC154" s="20">
        <v>0</v>
      </c>
      <c r="BD154" s="20">
        <v>0</v>
      </c>
      <c r="BE154" s="20">
        <v>0</v>
      </c>
      <c r="BF154" s="20">
        <v>0</v>
      </c>
      <c r="BG154" s="20">
        <v>0</v>
      </c>
      <c r="BH154" s="20">
        <v>0</v>
      </c>
      <c r="BI154" s="20">
        <v>0</v>
      </c>
      <c r="BJ154" s="20">
        <v>0</v>
      </c>
      <c r="BK154" s="20">
        <v>0</v>
      </c>
      <c r="BL154" s="20">
        <v>0</v>
      </c>
      <c r="BM154" s="14"/>
    </row>
    <row r="155" spans="1:65" x14ac:dyDescent="0.25">
      <c r="A155" s="17" t="str">
        <v>PHF Horse Mixes</v>
      </c>
      <c r="B155" s="17" t="str">
        <v>Gold / Cumani Gold / Kendall Race</v>
      </c>
      <c r="C155" s="242">
        <f t="shared" si="2"/>
        <v>93.031000000000006</v>
      </c>
      <c r="D155" s="243">
        <f t="shared" si="3"/>
        <v>0.88812410501193328</v>
      </c>
      <c r="E155" s="20">
        <v>0</v>
      </c>
      <c r="F155" s="20">
        <v>2.5</v>
      </c>
      <c r="G155" s="20">
        <v>0</v>
      </c>
      <c r="H155" s="20">
        <v>0</v>
      </c>
      <c r="I155" s="20">
        <v>0</v>
      </c>
      <c r="J155" s="20">
        <v>0</v>
      </c>
      <c r="K155" s="20">
        <v>0</v>
      </c>
      <c r="L155" s="18">
        <v>0</v>
      </c>
      <c r="M155" s="18">
        <v>21.599999999999998</v>
      </c>
      <c r="N155" s="20">
        <v>0</v>
      </c>
      <c r="O155" s="20">
        <v>0</v>
      </c>
      <c r="P155" s="20">
        <v>0</v>
      </c>
      <c r="Q155" s="20">
        <v>0</v>
      </c>
      <c r="R155" s="20">
        <v>0</v>
      </c>
      <c r="S155" s="20">
        <v>0</v>
      </c>
      <c r="T155" s="20">
        <v>0</v>
      </c>
      <c r="U155" s="20">
        <v>0</v>
      </c>
      <c r="V155" s="20">
        <v>0</v>
      </c>
      <c r="W155" s="20">
        <v>0</v>
      </c>
      <c r="X155" s="20">
        <v>0</v>
      </c>
      <c r="Y155" s="20">
        <v>0</v>
      </c>
      <c r="Z155" s="20">
        <v>0</v>
      </c>
      <c r="AA155" s="20">
        <v>0</v>
      </c>
      <c r="AB155" s="20">
        <v>0</v>
      </c>
      <c r="AC155" s="20">
        <v>6.9760000000000009</v>
      </c>
      <c r="AD155" s="20">
        <v>0</v>
      </c>
      <c r="AE155" s="20">
        <v>0</v>
      </c>
      <c r="AF155" s="20">
        <v>4.0837500000000002</v>
      </c>
      <c r="AG155" s="20">
        <v>0</v>
      </c>
      <c r="AH155" s="20">
        <v>0</v>
      </c>
      <c r="AI155" s="20">
        <v>0.48375000000000001</v>
      </c>
      <c r="AJ155" s="20">
        <v>0.33000000000000007</v>
      </c>
      <c r="AK155" s="20">
        <v>0</v>
      </c>
      <c r="AL155" s="20">
        <v>0</v>
      </c>
      <c r="AM155" s="20">
        <v>0</v>
      </c>
      <c r="AN155" s="20">
        <v>3.0149999999999997</v>
      </c>
      <c r="AO155" s="20">
        <v>12.9</v>
      </c>
      <c r="AP155" s="20">
        <v>0</v>
      </c>
      <c r="AQ155" s="20">
        <v>8.6</v>
      </c>
      <c r="AR155" s="20">
        <v>0</v>
      </c>
      <c r="AS155" s="20">
        <v>26.48</v>
      </c>
      <c r="AT155" s="20">
        <v>0</v>
      </c>
      <c r="AU155" s="20">
        <v>0</v>
      </c>
      <c r="AV155" s="20">
        <v>0</v>
      </c>
      <c r="AW155" s="20">
        <v>0</v>
      </c>
      <c r="AX155" s="20">
        <v>0</v>
      </c>
      <c r="AY155" s="20">
        <v>0</v>
      </c>
      <c r="AZ155" s="20">
        <v>0</v>
      </c>
      <c r="BA155" s="20">
        <v>0</v>
      </c>
      <c r="BB155" s="20">
        <v>0</v>
      </c>
      <c r="BC155" s="20">
        <v>0</v>
      </c>
      <c r="BD155" s="20">
        <v>6.0625</v>
      </c>
      <c r="BE155" s="20">
        <v>0</v>
      </c>
      <c r="BF155" s="20">
        <v>0</v>
      </c>
      <c r="BG155" s="20">
        <v>0</v>
      </c>
      <c r="BH155" s="20">
        <v>0</v>
      </c>
      <c r="BI155" s="20">
        <v>0</v>
      </c>
      <c r="BJ155" s="20">
        <v>0</v>
      </c>
      <c r="BK155" s="20">
        <v>0</v>
      </c>
      <c r="BL155" s="20">
        <v>0</v>
      </c>
      <c r="BM155" s="14"/>
    </row>
    <row r="156" spans="1:65" x14ac:dyDescent="0.25">
      <c r="A156" s="17" t="str">
        <v>PHF Horse Mixes</v>
      </c>
      <c r="B156" s="17" t="str">
        <v>Brown / Cumani Brown</v>
      </c>
      <c r="C156" s="242">
        <f t="shared" si="2"/>
        <v>90.815500000000014</v>
      </c>
      <c r="D156" s="243">
        <f t="shared" si="3"/>
        <v>0.90363681592039813</v>
      </c>
      <c r="E156" s="20">
        <v>0</v>
      </c>
      <c r="F156" s="20">
        <v>2.5</v>
      </c>
      <c r="G156" s="20">
        <v>0</v>
      </c>
      <c r="H156" s="20">
        <v>0</v>
      </c>
      <c r="I156" s="20">
        <v>0</v>
      </c>
      <c r="J156" s="20">
        <v>0</v>
      </c>
      <c r="K156" s="20">
        <v>0</v>
      </c>
      <c r="L156" s="18">
        <v>0</v>
      </c>
      <c r="M156" s="18">
        <v>14.879999999999999</v>
      </c>
      <c r="N156" s="20">
        <v>0</v>
      </c>
      <c r="O156" s="20">
        <v>0</v>
      </c>
      <c r="P156" s="20">
        <v>0</v>
      </c>
      <c r="Q156" s="20">
        <v>0</v>
      </c>
      <c r="R156" s="20">
        <v>0</v>
      </c>
      <c r="S156" s="20">
        <v>0</v>
      </c>
      <c r="T156" s="20">
        <v>0</v>
      </c>
      <c r="U156" s="20">
        <v>0</v>
      </c>
      <c r="V156" s="20">
        <v>0</v>
      </c>
      <c r="W156" s="20">
        <v>0</v>
      </c>
      <c r="X156" s="20">
        <v>0</v>
      </c>
      <c r="Y156" s="20">
        <v>0</v>
      </c>
      <c r="Z156" s="20">
        <v>0</v>
      </c>
      <c r="AA156" s="20">
        <v>0</v>
      </c>
      <c r="AB156" s="20">
        <v>0</v>
      </c>
      <c r="AC156" s="20">
        <v>12.208000000000002</v>
      </c>
      <c r="AD156" s="20">
        <v>0</v>
      </c>
      <c r="AE156" s="20">
        <v>0</v>
      </c>
      <c r="AF156" s="20">
        <v>4.0837500000000002</v>
      </c>
      <c r="AG156" s="20">
        <v>0</v>
      </c>
      <c r="AH156" s="20">
        <v>0</v>
      </c>
      <c r="AI156" s="20">
        <v>0.48375000000000001</v>
      </c>
      <c r="AJ156" s="20">
        <v>0.33000000000000007</v>
      </c>
      <c r="AK156" s="20">
        <v>0</v>
      </c>
      <c r="AL156" s="20">
        <v>0</v>
      </c>
      <c r="AM156" s="20">
        <v>0</v>
      </c>
      <c r="AN156" s="20">
        <v>6.0299999999999994</v>
      </c>
      <c r="AO156" s="20">
        <v>8.6</v>
      </c>
      <c r="AP156" s="20">
        <v>0</v>
      </c>
      <c r="AQ156" s="20">
        <v>8.6</v>
      </c>
      <c r="AR156" s="20">
        <v>0</v>
      </c>
      <c r="AS156" s="20">
        <v>33.1</v>
      </c>
      <c r="AT156" s="20">
        <v>0</v>
      </c>
      <c r="AU156" s="20">
        <v>0</v>
      </c>
      <c r="AV156" s="20">
        <v>0</v>
      </c>
      <c r="AW156" s="20">
        <v>0</v>
      </c>
      <c r="AX156" s="20">
        <v>0</v>
      </c>
      <c r="AY156" s="20">
        <v>0</v>
      </c>
      <c r="AZ156" s="20">
        <v>0</v>
      </c>
      <c r="BA156" s="20">
        <v>0</v>
      </c>
      <c r="BB156" s="20">
        <v>0</v>
      </c>
      <c r="BC156" s="20">
        <v>0</v>
      </c>
      <c r="BD156" s="20">
        <v>0</v>
      </c>
      <c r="BE156" s="20">
        <v>0</v>
      </c>
      <c r="BF156" s="20">
        <v>0</v>
      </c>
      <c r="BG156" s="20">
        <v>0</v>
      </c>
      <c r="BH156" s="20">
        <v>0</v>
      </c>
      <c r="BI156" s="20">
        <v>0</v>
      </c>
      <c r="BJ156" s="20">
        <v>0</v>
      </c>
      <c r="BK156" s="20">
        <v>0</v>
      </c>
      <c r="BL156" s="20">
        <v>0</v>
      </c>
      <c r="BM156" s="14"/>
    </row>
    <row r="157" spans="1:65" x14ac:dyDescent="0.25">
      <c r="A157" s="17" t="str">
        <v>PHF Horse Mixes</v>
      </c>
      <c r="B157" s="17" t="str">
        <v>Green / Cumani Green</v>
      </c>
      <c r="C157" s="242">
        <f t="shared" si="2"/>
        <v>90.627499999999998</v>
      </c>
      <c r="D157" s="243">
        <f t="shared" si="3"/>
        <v>0.91082914572864315</v>
      </c>
      <c r="E157" s="20">
        <v>0</v>
      </c>
      <c r="F157" s="20">
        <v>2.5</v>
      </c>
      <c r="G157" s="20">
        <v>0</v>
      </c>
      <c r="H157" s="20">
        <v>0</v>
      </c>
      <c r="I157" s="20">
        <v>0</v>
      </c>
      <c r="J157" s="20">
        <v>0</v>
      </c>
      <c r="K157" s="20">
        <v>0</v>
      </c>
      <c r="L157" s="18">
        <v>0</v>
      </c>
      <c r="M157" s="18">
        <v>6.24</v>
      </c>
      <c r="N157" s="20">
        <v>0</v>
      </c>
      <c r="O157" s="20">
        <v>0</v>
      </c>
      <c r="P157" s="20">
        <v>0</v>
      </c>
      <c r="Q157" s="20">
        <v>0</v>
      </c>
      <c r="R157" s="20">
        <v>0</v>
      </c>
      <c r="S157" s="20">
        <v>0</v>
      </c>
      <c r="T157" s="20">
        <v>0</v>
      </c>
      <c r="U157" s="20">
        <v>0</v>
      </c>
      <c r="V157" s="20">
        <v>0</v>
      </c>
      <c r="W157" s="20">
        <v>0</v>
      </c>
      <c r="X157" s="20">
        <v>0</v>
      </c>
      <c r="Y157" s="20">
        <v>0</v>
      </c>
      <c r="Z157" s="20">
        <v>0</v>
      </c>
      <c r="AA157" s="20">
        <v>0</v>
      </c>
      <c r="AB157" s="20">
        <v>0</v>
      </c>
      <c r="AC157" s="20">
        <v>12.208000000000002</v>
      </c>
      <c r="AD157" s="20">
        <v>0</v>
      </c>
      <c r="AE157" s="20">
        <v>0</v>
      </c>
      <c r="AF157" s="20">
        <v>4.0837500000000002</v>
      </c>
      <c r="AG157" s="20">
        <v>0</v>
      </c>
      <c r="AH157" s="20">
        <v>0</v>
      </c>
      <c r="AI157" s="20">
        <v>0.48375000000000001</v>
      </c>
      <c r="AJ157" s="20">
        <v>0.33000000000000007</v>
      </c>
      <c r="AK157" s="20">
        <v>0</v>
      </c>
      <c r="AL157" s="20">
        <v>0</v>
      </c>
      <c r="AM157" s="20">
        <v>0</v>
      </c>
      <c r="AN157" s="20">
        <v>20.501999999999999</v>
      </c>
      <c r="AO157" s="20">
        <v>2.58</v>
      </c>
      <c r="AP157" s="20">
        <v>0</v>
      </c>
      <c r="AQ157" s="20">
        <v>8.6</v>
      </c>
      <c r="AR157" s="20">
        <v>0</v>
      </c>
      <c r="AS157" s="20">
        <v>33.1</v>
      </c>
      <c r="AT157" s="20">
        <v>0</v>
      </c>
      <c r="AU157" s="20">
        <v>0</v>
      </c>
      <c r="AV157" s="20">
        <v>0</v>
      </c>
      <c r="AW157" s="20">
        <v>0</v>
      </c>
      <c r="AX157" s="20">
        <v>0</v>
      </c>
      <c r="AY157" s="20">
        <v>0</v>
      </c>
      <c r="AZ157" s="20">
        <v>0</v>
      </c>
      <c r="BA157" s="20">
        <v>0</v>
      </c>
      <c r="BB157" s="20">
        <v>0</v>
      </c>
      <c r="BC157" s="20">
        <v>0</v>
      </c>
      <c r="BD157" s="20">
        <v>0</v>
      </c>
      <c r="BE157" s="20">
        <v>0</v>
      </c>
      <c r="BF157" s="20">
        <v>0</v>
      </c>
      <c r="BG157" s="20">
        <v>0</v>
      </c>
      <c r="BH157" s="20">
        <v>0</v>
      </c>
      <c r="BI157" s="20">
        <v>0</v>
      </c>
      <c r="BJ157" s="20">
        <v>0</v>
      </c>
      <c r="BK157" s="20">
        <v>0</v>
      </c>
      <c r="BL157" s="20">
        <v>0</v>
      </c>
      <c r="BM157" s="14"/>
    </row>
    <row r="158" spans="1:65" x14ac:dyDescent="0.25">
      <c r="A158" s="17" t="str">
        <v>PHF Horse Mixes</v>
      </c>
      <c r="B158" s="17" t="str">
        <v>Blue / Cumani Blue / Un Tie</v>
      </c>
      <c r="C158" s="242">
        <f t="shared" si="2"/>
        <v>142.75970000000001</v>
      </c>
      <c r="D158" s="243">
        <f t="shared" si="3"/>
        <v>1.427597</v>
      </c>
      <c r="E158" s="20">
        <v>8.8452000000000002</v>
      </c>
      <c r="F158" s="20">
        <v>5</v>
      </c>
      <c r="G158" s="20">
        <v>0</v>
      </c>
      <c r="H158" s="20">
        <v>0</v>
      </c>
      <c r="I158" s="20">
        <v>0</v>
      </c>
      <c r="J158" s="20">
        <v>0</v>
      </c>
      <c r="K158" s="20">
        <v>0</v>
      </c>
      <c r="L158" s="18">
        <v>0</v>
      </c>
      <c r="M158" s="18">
        <v>0</v>
      </c>
      <c r="N158" s="20">
        <v>0</v>
      </c>
      <c r="O158" s="20">
        <v>0</v>
      </c>
      <c r="P158" s="20">
        <v>0</v>
      </c>
      <c r="Q158" s="20">
        <v>0</v>
      </c>
      <c r="R158" s="20">
        <v>0</v>
      </c>
      <c r="S158" s="20">
        <v>0</v>
      </c>
      <c r="T158" s="20">
        <v>0</v>
      </c>
      <c r="U158" s="20">
        <v>0</v>
      </c>
      <c r="V158" s="20">
        <v>0</v>
      </c>
      <c r="W158" s="20">
        <v>0</v>
      </c>
      <c r="X158" s="20">
        <v>0</v>
      </c>
      <c r="Y158" s="20">
        <v>0</v>
      </c>
      <c r="Z158" s="20">
        <v>0</v>
      </c>
      <c r="AA158" s="20">
        <v>0</v>
      </c>
      <c r="AB158" s="20">
        <v>0</v>
      </c>
      <c r="AC158" s="20">
        <v>8.7200000000000006</v>
      </c>
      <c r="AD158" s="20">
        <v>0</v>
      </c>
      <c r="AE158" s="20">
        <v>0</v>
      </c>
      <c r="AF158" s="20">
        <v>3.2669999999999999</v>
      </c>
      <c r="AG158" s="20">
        <v>0</v>
      </c>
      <c r="AH158" s="20">
        <v>0</v>
      </c>
      <c r="AI158" s="20">
        <v>0.32250000000000001</v>
      </c>
      <c r="AJ158" s="20">
        <v>0</v>
      </c>
      <c r="AK158" s="20">
        <v>0</v>
      </c>
      <c r="AL158" s="20">
        <v>0</v>
      </c>
      <c r="AM158" s="20">
        <v>0</v>
      </c>
      <c r="AN158" s="20">
        <v>0</v>
      </c>
      <c r="AO158" s="20">
        <v>0</v>
      </c>
      <c r="AP158" s="20">
        <v>10.920000000000002</v>
      </c>
      <c r="AQ158" s="20">
        <v>0</v>
      </c>
      <c r="AR158" s="20">
        <v>0</v>
      </c>
      <c r="AS158" s="20">
        <v>0</v>
      </c>
      <c r="AT158" s="20">
        <v>0</v>
      </c>
      <c r="AU158" s="20">
        <v>27.69</v>
      </c>
      <c r="AV158" s="20">
        <v>0</v>
      </c>
      <c r="AW158" s="20">
        <v>0</v>
      </c>
      <c r="AX158" s="20">
        <v>36</v>
      </c>
      <c r="AY158" s="20">
        <v>14.62</v>
      </c>
      <c r="AZ158" s="20">
        <v>27.375</v>
      </c>
      <c r="BA158" s="20">
        <v>0</v>
      </c>
      <c r="BB158" s="20">
        <v>0</v>
      </c>
      <c r="BC158" s="20">
        <v>0</v>
      </c>
      <c r="BD158" s="20">
        <v>0</v>
      </c>
      <c r="BE158" s="20">
        <v>0</v>
      </c>
      <c r="BF158" s="20">
        <v>0</v>
      </c>
      <c r="BG158" s="20">
        <v>0</v>
      </c>
      <c r="BH158" s="20">
        <v>0</v>
      </c>
      <c r="BI158" s="20">
        <v>0</v>
      </c>
      <c r="BJ158" s="20">
        <v>0</v>
      </c>
      <c r="BK158" s="20">
        <v>0</v>
      </c>
      <c r="BL158" s="20">
        <v>0</v>
      </c>
      <c r="BM158" s="14"/>
    </row>
    <row r="159" spans="1:65" x14ac:dyDescent="0.25">
      <c r="A159" s="17" t="str">
        <v>PHF Horse Mixes</v>
      </c>
      <c r="B159" s="17" t="str">
        <v>Grampians Gold</v>
      </c>
      <c r="C159" s="242">
        <f t="shared" si="2"/>
        <v>110.74766666666667</v>
      </c>
      <c r="D159" s="243">
        <f t="shared" si="3"/>
        <v>1.0457758892036515</v>
      </c>
      <c r="E159" s="20">
        <v>0</v>
      </c>
      <c r="F159" s="20">
        <v>2.5</v>
      </c>
      <c r="G159" s="20">
        <v>0</v>
      </c>
      <c r="H159" s="20">
        <v>0</v>
      </c>
      <c r="I159" s="20">
        <v>0</v>
      </c>
      <c r="J159" s="20">
        <v>0</v>
      </c>
      <c r="K159" s="20">
        <v>0</v>
      </c>
      <c r="L159" s="18">
        <v>0</v>
      </c>
      <c r="M159" s="18">
        <v>21.599999999999998</v>
      </c>
      <c r="N159" s="20">
        <v>0</v>
      </c>
      <c r="O159" s="20">
        <v>0</v>
      </c>
      <c r="P159" s="20">
        <v>0</v>
      </c>
      <c r="Q159" s="20">
        <v>0</v>
      </c>
      <c r="R159" s="20">
        <v>0</v>
      </c>
      <c r="S159" s="20">
        <v>0</v>
      </c>
      <c r="T159" s="20">
        <v>0</v>
      </c>
      <c r="U159" s="20">
        <v>0</v>
      </c>
      <c r="V159" s="20">
        <v>0</v>
      </c>
      <c r="W159" s="20">
        <v>0</v>
      </c>
      <c r="X159" s="20">
        <v>0</v>
      </c>
      <c r="Y159" s="20">
        <v>0</v>
      </c>
      <c r="Z159" s="20">
        <v>0</v>
      </c>
      <c r="AA159" s="20">
        <v>0</v>
      </c>
      <c r="AB159" s="20">
        <v>0</v>
      </c>
      <c r="AC159" s="20">
        <v>6.9760000000000009</v>
      </c>
      <c r="AD159" s="20">
        <v>0</v>
      </c>
      <c r="AE159" s="20">
        <v>0</v>
      </c>
      <c r="AF159" s="20">
        <v>4.0837500000000002</v>
      </c>
      <c r="AG159" s="20">
        <v>0</v>
      </c>
      <c r="AH159" s="20">
        <v>0</v>
      </c>
      <c r="AI159" s="20">
        <v>0.48375000000000001</v>
      </c>
      <c r="AJ159" s="20">
        <v>0.33000000000000007</v>
      </c>
      <c r="AK159" s="20">
        <v>0</v>
      </c>
      <c r="AL159" s="20">
        <v>0</v>
      </c>
      <c r="AM159" s="20">
        <v>0</v>
      </c>
      <c r="AN159" s="20">
        <v>3.0149999999999997</v>
      </c>
      <c r="AO159" s="20">
        <v>12.9</v>
      </c>
      <c r="AP159" s="20">
        <v>0</v>
      </c>
      <c r="AQ159" s="20">
        <v>8.6</v>
      </c>
      <c r="AR159" s="20">
        <v>0</v>
      </c>
      <c r="AS159" s="20">
        <v>26.48</v>
      </c>
      <c r="AT159" s="20">
        <v>0</v>
      </c>
      <c r="AU159" s="20">
        <v>0</v>
      </c>
      <c r="AV159" s="20">
        <v>0</v>
      </c>
      <c r="AW159" s="20">
        <v>0</v>
      </c>
      <c r="AX159" s="20">
        <v>0</v>
      </c>
      <c r="AY159" s="20">
        <v>0</v>
      </c>
      <c r="AZ159" s="20">
        <v>0</v>
      </c>
      <c r="BA159" s="20">
        <v>0</v>
      </c>
      <c r="BB159" s="20">
        <v>0</v>
      </c>
      <c r="BC159" s="20">
        <v>0</v>
      </c>
      <c r="BD159" s="20">
        <v>6.0625</v>
      </c>
      <c r="BE159" s="20">
        <v>3.5999999999999996</v>
      </c>
      <c r="BF159" s="20">
        <v>14.116666666666669</v>
      </c>
      <c r="BG159" s="20">
        <v>0</v>
      </c>
      <c r="BH159" s="20">
        <v>0</v>
      </c>
      <c r="BI159" s="20">
        <v>0</v>
      </c>
      <c r="BJ159" s="20">
        <v>0</v>
      </c>
      <c r="BK159" s="20">
        <v>0</v>
      </c>
      <c r="BL159" s="20">
        <v>0</v>
      </c>
      <c r="BM159" s="14"/>
    </row>
    <row r="160" spans="1:65" x14ac:dyDescent="0.25">
      <c r="A160" s="17" t="str">
        <v>PHF Horse Mixes</v>
      </c>
      <c r="B160" s="17" t="str">
        <v>Grampians Brown</v>
      </c>
      <c r="C160" s="242">
        <f t="shared" si="2"/>
        <v>106.21550000000002</v>
      </c>
      <c r="D160" s="243">
        <f t="shared" si="3"/>
        <v>1.0505984174085068</v>
      </c>
      <c r="E160" s="20">
        <v>0</v>
      </c>
      <c r="F160" s="20">
        <v>2.5</v>
      </c>
      <c r="G160" s="20">
        <v>0</v>
      </c>
      <c r="H160" s="20">
        <v>0</v>
      </c>
      <c r="I160" s="20">
        <v>0</v>
      </c>
      <c r="J160" s="20">
        <v>0</v>
      </c>
      <c r="K160" s="20">
        <v>0</v>
      </c>
      <c r="L160" s="18">
        <v>0</v>
      </c>
      <c r="M160" s="18">
        <v>14.879999999999999</v>
      </c>
      <c r="N160" s="20">
        <v>0</v>
      </c>
      <c r="O160" s="20">
        <v>0</v>
      </c>
      <c r="P160" s="20">
        <v>0</v>
      </c>
      <c r="Q160" s="20">
        <v>0</v>
      </c>
      <c r="R160" s="20">
        <v>0</v>
      </c>
      <c r="S160" s="20">
        <v>0</v>
      </c>
      <c r="T160" s="20">
        <v>0</v>
      </c>
      <c r="U160" s="20">
        <v>0</v>
      </c>
      <c r="V160" s="20">
        <v>0</v>
      </c>
      <c r="W160" s="20">
        <v>0</v>
      </c>
      <c r="X160" s="20">
        <v>0</v>
      </c>
      <c r="Y160" s="20">
        <v>0</v>
      </c>
      <c r="Z160" s="20">
        <v>0</v>
      </c>
      <c r="AA160" s="20">
        <v>0</v>
      </c>
      <c r="AB160" s="20">
        <v>0</v>
      </c>
      <c r="AC160" s="20">
        <v>12.208000000000002</v>
      </c>
      <c r="AD160" s="20">
        <v>0</v>
      </c>
      <c r="AE160" s="20">
        <v>0</v>
      </c>
      <c r="AF160" s="20">
        <v>4.0837500000000002</v>
      </c>
      <c r="AG160" s="20">
        <v>0</v>
      </c>
      <c r="AH160" s="20">
        <v>0</v>
      </c>
      <c r="AI160" s="20">
        <v>0.48375000000000001</v>
      </c>
      <c r="AJ160" s="20">
        <v>0.33000000000000007</v>
      </c>
      <c r="AK160" s="20">
        <v>0</v>
      </c>
      <c r="AL160" s="20">
        <v>0</v>
      </c>
      <c r="AM160" s="20">
        <v>0</v>
      </c>
      <c r="AN160" s="20">
        <v>6.0299999999999994</v>
      </c>
      <c r="AO160" s="20">
        <v>8.6</v>
      </c>
      <c r="AP160" s="20">
        <v>0</v>
      </c>
      <c r="AQ160" s="20">
        <v>8.6</v>
      </c>
      <c r="AR160" s="20">
        <v>0</v>
      </c>
      <c r="AS160" s="20">
        <v>33.1</v>
      </c>
      <c r="AT160" s="20">
        <v>0</v>
      </c>
      <c r="AU160" s="20">
        <v>0</v>
      </c>
      <c r="AV160" s="20">
        <v>0</v>
      </c>
      <c r="AW160" s="20">
        <v>0</v>
      </c>
      <c r="AX160" s="20">
        <v>0</v>
      </c>
      <c r="AY160" s="20">
        <v>0</v>
      </c>
      <c r="AZ160" s="20">
        <v>0</v>
      </c>
      <c r="BA160" s="20">
        <v>0</v>
      </c>
      <c r="BB160" s="20">
        <v>0</v>
      </c>
      <c r="BC160" s="20">
        <v>0</v>
      </c>
      <c r="BD160" s="20">
        <v>0</v>
      </c>
      <c r="BE160" s="20">
        <v>0</v>
      </c>
      <c r="BF160" s="20">
        <v>15.4</v>
      </c>
      <c r="BG160" s="20">
        <v>0</v>
      </c>
      <c r="BH160" s="20">
        <v>0</v>
      </c>
      <c r="BI160" s="20">
        <v>0</v>
      </c>
      <c r="BJ160" s="20">
        <v>0</v>
      </c>
      <c r="BK160" s="20">
        <v>0</v>
      </c>
      <c r="BL160" s="20">
        <v>0</v>
      </c>
      <c r="BM160" s="14"/>
    </row>
    <row r="161" spans="1:65" x14ac:dyDescent="0.25">
      <c r="A161" s="17" t="str">
        <v>PHF Horse Mixes</v>
      </c>
      <c r="B161" s="17" t="str">
        <v>Grampians Green</v>
      </c>
      <c r="C161" s="242">
        <f t="shared" si="2"/>
        <v>106.0275</v>
      </c>
      <c r="D161" s="243">
        <f t="shared" si="3"/>
        <v>1.0592157842157843</v>
      </c>
      <c r="E161" s="20">
        <v>0</v>
      </c>
      <c r="F161" s="20">
        <v>2.5</v>
      </c>
      <c r="G161" s="20">
        <v>0</v>
      </c>
      <c r="H161" s="20">
        <v>0</v>
      </c>
      <c r="I161" s="20">
        <v>0</v>
      </c>
      <c r="J161" s="20">
        <v>0</v>
      </c>
      <c r="K161" s="20">
        <v>0</v>
      </c>
      <c r="L161" s="18">
        <v>0</v>
      </c>
      <c r="M161" s="18">
        <v>6.24</v>
      </c>
      <c r="N161" s="20">
        <v>0</v>
      </c>
      <c r="O161" s="20">
        <v>0</v>
      </c>
      <c r="P161" s="20">
        <v>0</v>
      </c>
      <c r="Q161" s="20">
        <v>0</v>
      </c>
      <c r="R161" s="20">
        <v>0</v>
      </c>
      <c r="S161" s="20">
        <v>0</v>
      </c>
      <c r="T161" s="20">
        <v>0</v>
      </c>
      <c r="U161" s="20">
        <v>0</v>
      </c>
      <c r="V161" s="20">
        <v>0</v>
      </c>
      <c r="W161" s="20">
        <v>0</v>
      </c>
      <c r="X161" s="20">
        <v>0</v>
      </c>
      <c r="Y161" s="20">
        <v>0</v>
      </c>
      <c r="Z161" s="20">
        <v>0</v>
      </c>
      <c r="AA161" s="20">
        <v>0</v>
      </c>
      <c r="AB161" s="20">
        <v>0</v>
      </c>
      <c r="AC161" s="20">
        <v>12.208000000000002</v>
      </c>
      <c r="AD161" s="20">
        <v>0</v>
      </c>
      <c r="AE161" s="20">
        <v>0</v>
      </c>
      <c r="AF161" s="20">
        <v>4.0837500000000002</v>
      </c>
      <c r="AG161" s="20">
        <v>0</v>
      </c>
      <c r="AH161" s="20">
        <v>0</v>
      </c>
      <c r="AI161" s="20">
        <v>0.48375000000000001</v>
      </c>
      <c r="AJ161" s="20">
        <v>0.33000000000000007</v>
      </c>
      <c r="AK161" s="20">
        <v>0</v>
      </c>
      <c r="AL161" s="20">
        <v>0</v>
      </c>
      <c r="AM161" s="20">
        <v>0</v>
      </c>
      <c r="AN161" s="20">
        <v>20.501999999999999</v>
      </c>
      <c r="AO161" s="20">
        <v>2.58</v>
      </c>
      <c r="AP161" s="20">
        <v>0</v>
      </c>
      <c r="AQ161" s="20">
        <v>8.6</v>
      </c>
      <c r="AR161" s="20">
        <v>0</v>
      </c>
      <c r="AS161" s="20">
        <v>33.1</v>
      </c>
      <c r="AT161" s="20">
        <v>0</v>
      </c>
      <c r="AU161" s="20">
        <v>0</v>
      </c>
      <c r="AV161" s="20">
        <v>0</v>
      </c>
      <c r="AW161" s="20">
        <v>0</v>
      </c>
      <c r="AX161" s="20">
        <v>0</v>
      </c>
      <c r="AY161" s="20">
        <v>0</v>
      </c>
      <c r="AZ161" s="20">
        <v>0</v>
      </c>
      <c r="BA161" s="20">
        <v>0</v>
      </c>
      <c r="BB161" s="20">
        <v>0</v>
      </c>
      <c r="BC161" s="20">
        <v>0</v>
      </c>
      <c r="BD161" s="20">
        <v>0</v>
      </c>
      <c r="BE161" s="20">
        <v>0</v>
      </c>
      <c r="BF161" s="20">
        <v>15.4</v>
      </c>
      <c r="BG161" s="20">
        <v>0</v>
      </c>
      <c r="BH161" s="20">
        <v>0</v>
      </c>
      <c r="BI161" s="20">
        <v>0</v>
      </c>
      <c r="BJ161" s="20">
        <v>0</v>
      </c>
      <c r="BK161" s="20">
        <v>0</v>
      </c>
      <c r="BL161" s="20">
        <v>0</v>
      </c>
      <c r="BM161" s="14"/>
    </row>
    <row r="162" spans="1:65" x14ac:dyDescent="0.25">
      <c r="A162" s="17" t="str">
        <v>PHF Horse Mixes</v>
      </c>
      <c r="B162" s="17" t="str">
        <v>McEvoy Race</v>
      </c>
      <c r="C162" s="242">
        <f t="shared" si="2"/>
        <v>87.276742499999997</v>
      </c>
      <c r="D162" s="243">
        <f t="shared" si="3"/>
        <v>0.87259290641871623</v>
      </c>
      <c r="E162" s="20">
        <v>0</v>
      </c>
      <c r="F162" s="20">
        <v>6.25</v>
      </c>
      <c r="G162" s="20">
        <v>0</v>
      </c>
      <c r="H162" s="20">
        <v>0</v>
      </c>
      <c r="I162" s="20">
        <v>0</v>
      </c>
      <c r="J162" s="20">
        <v>0</v>
      </c>
      <c r="K162" s="20">
        <v>0</v>
      </c>
      <c r="L162" s="18">
        <v>0</v>
      </c>
      <c r="M162" s="18">
        <v>19.2</v>
      </c>
      <c r="N162" s="20">
        <v>0</v>
      </c>
      <c r="O162" s="20">
        <v>0</v>
      </c>
      <c r="P162" s="20">
        <v>0</v>
      </c>
      <c r="Q162" s="20">
        <v>0</v>
      </c>
      <c r="R162" s="20">
        <v>0</v>
      </c>
      <c r="S162" s="20">
        <v>0</v>
      </c>
      <c r="T162" s="20">
        <v>0</v>
      </c>
      <c r="U162" s="20">
        <v>0</v>
      </c>
      <c r="V162" s="20">
        <v>0</v>
      </c>
      <c r="W162" s="20">
        <v>0</v>
      </c>
      <c r="X162" s="20">
        <v>0</v>
      </c>
      <c r="Y162" s="20">
        <v>0</v>
      </c>
      <c r="Z162" s="20">
        <v>0</v>
      </c>
      <c r="AA162" s="20">
        <v>4.1846874999999999</v>
      </c>
      <c r="AB162" s="20">
        <v>0</v>
      </c>
      <c r="AC162" s="20">
        <v>5.9993600000000002</v>
      </c>
      <c r="AD162" s="20">
        <v>0</v>
      </c>
      <c r="AE162" s="20">
        <v>0</v>
      </c>
      <c r="AF162" s="20">
        <v>3.5773649999999999</v>
      </c>
      <c r="AG162" s="20">
        <v>0</v>
      </c>
      <c r="AH162" s="20">
        <v>0</v>
      </c>
      <c r="AI162" s="20">
        <v>0.60629999999999995</v>
      </c>
      <c r="AJ162" s="20">
        <v>0</v>
      </c>
      <c r="AK162" s="20">
        <v>0</v>
      </c>
      <c r="AL162" s="20">
        <v>0</v>
      </c>
      <c r="AM162" s="20">
        <v>0</v>
      </c>
      <c r="AN162" s="20">
        <v>0</v>
      </c>
      <c r="AO162" s="20">
        <v>0</v>
      </c>
      <c r="AP162" s="20">
        <v>0</v>
      </c>
      <c r="AQ162" s="20">
        <v>11.760499999999999</v>
      </c>
      <c r="AR162" s="20">
        <v>0</v>
      </c>
      <c r="AS162" s="20">
        <v>0</v>
      </c>
      <c r="AT162" s="20">
        <v>8.9672800000000006</v>
      </c>
      <c r="AU162" s="20">
        <v>0</v>
      </c>
      <c r="AV162" s="20">
        <v>0</v>
      </c>
      <c r="AW162" s="20">
        <v>26.731249999999999</v>
      </c>
      <c r="AX162" s="20">
        <v>0</v>
      </c>
      <c r="AY162" s="20">
        <v>0</v>
      </c>
      <c r="AZ162" s="20">
        <v>0</v>
      </c>
      <c r="BA162" s="20">
        <v>0</v>
      </c>
      <c r="BB162" s="20">
        <v>0</v>
      </c>
      <c r="BC162" s="20">
        <v>0</v>
      </c>
      <c r="BD162" s="20">
        <v>0</v>
      </c>
      <c r="BE162" s="20">
        <v>0</v>
      </c>
      <c r="BF162" s="20">
        <v>0</v>
      </c>
      <c r="BG162" s="20">
        <v>0</v>
      </c>
      <c r="BH162" s="20">
        <v>0</v>
      </c>
      <c r="BI162" s="20">
        <v>0</v>
      </c>
      <c r="BJ162" s="20">
        <v>0</v>
      </c>
      <c r="BK162" s="20">
        <v>0</v>
      </c>
      <c r="BL162" s="20">
        <v>0</v>
      </c>
      <c r="BM162" s="14"/>
    </row>
    <row r="163" spans="1:65" x14ac:dyDescent="0.25">
      <c r="A163" s="17" t="str">
        <v>PHF Horse Mixes</v>
      </c>
      <c r="B163" s="17" t="str">
        <v>McEvoy AM / First Feed</v>
      </c>
      <c r="C163" s="242">
        <f t="shared" si="2"/>
        <v>105.57413</v>
      </c>
      <c r="D163" s="243">
        <f t="shared" si="3"/>
        <v>1.0557413</v>
      </c>
      <c r="E163" s="20">
        <v>5.6756700000000002</v>
      </c>
      <c r="F163" s="20">
        <v>1.1500000000000001</v>
      </c>
      <c r="G163" s="20">
        <v>0</v>
      </c>
      <c r="H163" s="20">
        <v>0</v>
      </c>
      <c r="I163" s="20">
        <v>0</v>
      </c>
      <c r="J163" s="20">
        <v>0</v>
      </c>
      <c r="K163" s="20">
        <v>0</v>
      </c>
      <c r="L163" s="18">
        <v>0</v>
      </c>
      <c r="M163" s="18">
        <v>1.6223999999999998</v>
      </c>
      <c r="N163" s="20">
        <v>0</v>
      </c>
      <c r="O163" s="20">
        <v>0</v>
      </c>
      <c r="P163" s="20">
        <v>0</v>
      </c>
      <c r="Q163" s="20">
        <v>0</v>
      </c>
      <c r="R163" s="20">
        <v>0</v>
      </c>
      <c r="S163" s="20">
        <v>0</v>
      </c>
      <c r="T163" s="20">
        <v>0</v>
      </c>
      <c r="U163" s="20">
        <v>0</v>
      </c>
      <c r="V163" s="20">
        <v>0</v>
      </c>
      <c r="W163" s="20">
        <v>0</v>
      </c>
      <c r="X163" s="20">
        <v>0</v>
      </c>
      <c r="Y163" s="20">
        <v>0</v>
      </c>
      <c r="Z163" s="20">
        <v>0</v>
      </c>
      <c r="AA163" s="20">
        <v>0</v>
      </c>
      <c r="AB163" s="20">
        <v>0</v>
      </c>
      <c r="AC163" s="20">
        <v>12.077200000000001</v>
      </c>
      <c r="AD163" s="20">
        <v>0</v>
      </c>
      <c r="AE163" s="20">
        <v>0</v>
      </c>
      <c r="AF163" s="20">
        <v>5.65191</v>
      </c>
      <c r="AG163" s="20">
        <v>0</v>
      </c>
      <c r="AH163" s="20">
        <v>0</v>
      </c>
      <c r="AI163" s="20">
        <v>0</v>
      </c>
      <c r="AJ163" s="20">
        <v>0</v>
      </c>
      <c r="AK163" s="20">
        <v>0</v>
      </c>
      <c r="AL163" s="20">
        <v>0</v>
      </c>
      <c r="AM163" s="20">
        <v>0</v>
      </c>
      <c r="AN163" s="20">
        <v>0</v>
      </c>
      <c r="AO163" s="20">
        <v>2.6488</v>
      </c>
      <c r="AP163" s="20">
        <v>0</v>
      </c>
      <c r="AQ163" s="20">
        <v>20.672249999999998</v>
      </c>
      <c r="AR163" s="20">
        <v>0</v>
      </c>
      <c r="AS163" s="20">
        <v>19.098699999999997</v>
      </c>
      <c r="AT163" s="20">
        <v>34.559399999999997</v>
      </c>
      <c r="AU163" s="20">
        <v>0</v>
      </c>
      <c r="AV163" s="20">
        <v>0</v>
      </c>
      <c r="AW163" s="20">
        <v>0</v>
      </c>
      <c r="AX163" s="20">
        <v>0</v>
      </c>
      <c r="AY163" s="20">
        <v>0</v>
      </c>
      <c r="AZ163" s="20">
        <v>0</v>
      </c>
      <c r="BA163" s="20">
        <v>0</v>
      </c>
      <c r="BB163" s="20">
        <v>0</v>
      </c>
      <c r="BC163" s="20">
        <v>0</v>
      </c>
      <c r="BD163" s="20">
        <v>0</v>
      </c>
      <c r="BE163" s="20">
        <v>0</v>
      </c>
      <c r="BF163" s="20">
        <v>0</v>
      </c>
      <c r="BG163" s="20">
        <v>2.4177999999999997</v>
      </c>
      <c r="BH163" s="20">
        <v>0</v>
      </c>
      <c r="BI163" s="20">
        <v>0</v>
      </c>
      <c r="BJ163" s="20">
        <v>0</v>
      </c>
      <c r="BK163" s="20">
        <v>0</v>
      </c>
      <c r="BL163" s="20">
        <v>0</v>
      </c>
      <c r="BM163" s="14"/>
    </row>
    <row r="164" spans="1:65" x14ac:dyDescent="0.25">
      <c r="A164" s="17" t="str">
        <v>PHF Horse Mixes</v>
      </c>
      <c r="B164" s="17" t="str">
        <v>IRT Oat</v>
      </c>
      <c r="C164" s="242">
        <f t="shared" si="2"/>
        <v>74.367249999999999</v>
      </c>
      <c r="D164" s="243">
        <f t="shared" ref="D164:D183" si="4">C164/VLOOKUP(B164,$B$2:$BK$93,2,FALSE)</f>
        <v>0.74367249999999996</v>
      </c>
      <c r="E164" s="20">
        <v>3.6854999999999998</v>
      </c>
      <c r="F164" s="20">
        <v>3.75</v>
      </c>
      <c r="G164" s="20">
        <v>0</v>
      </c>
      <c r="H164" s="20">
        <v>0</v>
      </c>
      <c r="I164" s="20">
        <v>0</v>
      </c>
      <c r="J164" s="20">
        <v>0</v>
      </c>
      <c r="K164" s="20">
        <v>0</v>
      </c>
      <c r="L164" s="18">
        <v>0</v>
      </c>
      <c r="M164" s="18">
        <v>19.2</v>
      </c>
      <c r="N164" s="20">
        <v>0</v>
      </c>
      <c r="O164" s="20">
        <v>0</v>
      </c>
      <c r="P164" s="20">
        <v>0</v>
      </c>
      <c r="Q164" s="20">
        <v>0</v>
      </c>
      <c r="R164" s="20">
        <v>0</v>
      </c>
      <c r="S164" s="20">
        <v>0</v>
      </c>
      <c r="T164" s="20">
        <v>0</v>
      </c>
      <c r="U164" s="20">
        <v>0</v>
      </c>
      <c r="V164" s="20">
        <v>0</v>
      </c>
      <c r="W164" s="20">
        <v>0</v>
      </c>
      <c r="X164" s="20">
        <v>0</v>
      </c>
      <c r="Y164" s="20">
        <v>0</v>
      </c>
      <c r="Z164" s="20">
        <v>0</v>
      </c>
      <c r="AA164" s="20">
        <v>3.8259999999999996</v>
      </c>
      <c r="AB164" s="20">
        <v>0</v>
      </c>
      <c r="AC164" s="20">
        <v>6.9760000000000009</v>
      </c>
      <c r="AD164" s="20">
        <v>0</v>
      </c>
      <c r="AE164" s="20">
        <v>0</v>
      </c>
      <c r="AF164" s="20">
        <v>4.0837500000000002</v>
      </c>
      <c r="AG164" s="20">
        <v>0</v>
      </c>
      <c r="AH164" s="20">
        <v>0</v>
      </c>
      <c r="AI164" s="20">
        <v>0.32250000000000001</v>
      </c>
      <c r="AJ164" s="20">
        <v>0</v>
      </c>
      <c r="AK164" s="20">
        <v>0</v>
      </c>
      <c r="AL164" s="20">
        <v>0</v>
      </c>
      <c r="AM164" s="20">
        <v>0</v>
      </c>
      <c r="AN164" s="20">
        <v>8.7434999999999992</v>
      </c>
      <c r="AO164" s="20">
        <v>0</v>
      </c>
      <c r="AP164" s="20">
        <v>0</v>
      </c>
      <c r="AQ164" s="20">
        <v>0</v>
      </c>
      <c r="AR164" s="20">
        <v>0</v>
      </c>
      <c r="AS164" s="20">
        <v>0</v>
      </c>
      <c r="AT164" s="20">
        <v>0</v>
      </c>
      <c r="AU164" s="20">
        <v>0</v>
      </c>
      <c r="AV164" s="20">
        <v>23.78</v>
      </c>
      <c r="AW164" s="20">
        <v>0</v>
      </c>
      <c r="AX164" s="20">
        <v>0</v>
      </c>
      <c r="AY164" s="20">
        <v>0</v>
      </c>
      <c r="AZ164" s="20">
        <v>0</v>
      </c>
      <c r="BA164" s="20">
        <v>0</v>
      </c>
      <c r="BB164" s="20">
        <v>0</v>
      </c>
      <c r="BC164" s="20">
        <v>0</v>
      </c>
      <c r="BD164" s="20">
        <v>0</v>
      </c>
      <c r="BE164" s="20">
        <v>0</v>
      </c>
      <c r="BF164" s="20">
        <v>0</v>
      </c>
      <c r="BG164" s="20">
        <v>0</v>
      </c>
      <c r="BH164" s="20">
        <v>0</v>
      </c>
      <c r="BI164" s="20">
        <v>0</v>
      </c>
      <c r="BJ164" s="20">
        <v>0</v>
      </c>
      <c r="BK164" s="20">
        <v>0</v>
      </c>
      <c r="BL164" s="20">
        <v>0</v>
      </c>
      <c r="BM164" s="14"/>
    </row>
    <row r="165" spans="1:65" x14ac:dyDescent="0.25">
      <c r="A165" s="17" t="str">
        <v>PHF Horse Mixes</v>
      </c>
      <c r="B165" s="17" t="str">
        <v>IRT Non Oat</v>
      </c>
      <c r="C165" s="242">
        <f t="shared" ref="C165:C183" si="5">SUM(E165:BX165)</f>
        <v>85.652500000000003</v>
      </c>
      <c r="D165" s="243">
        <f t="shared" si="4"/>
        <v>0.85643935606439359</v>
      </c>
      <c r="E165" s="20">
        <v>3.6854999999999998</v>
      </c>
      <c r="F165" s="20">
        <v>2.9249999999999998</v>
      </c>
      <c r="G165" s="20">
        <v>0</v>
      </c>
      <c r="H165" s="20">
        <v>0</v>
      </c>
      <c r="I165" s="20">
        <v>0</v>
      </c>
      <c r="J165" s="20">
        <v>0</v>
      </c>
      <c r="K165" s="20">
        <v>0</v>
      </c>
      <c r="L165" s="18">
        <v>0</v>
      </c>
      <c r="M165" s="18">
        <v>0</v>
      </c>
      <c r="N165" s="20">
        <v>0</v>
      </c>
      <c r="O165" s="20">
        <v>0</v>
      </c>
      <c r="P165" s="20">
        <v>0</v>
      </c>
      <c r="Q165" s="20">
        <v>0</v>
      </c>
      <c r="R165" s="20">
        <v>0</v>
      </c>
      <c r="S165" s="20">
        <v>0</v>
      </c>
      <c r="T165" s="20">
        <v>0</v>
      </c>
      <c r="U165" s="20">
        <v>0</v>
      </c>
      <c r="V165" s="20">
        <v>0</v>
      </c>
      <c r="W165" s="20">
        <v>0</v>
      </c>
      <c r="X165" s="20">
        <v>0</v>
      </c>
      <c r="Y165" s="20">
        <v>0</v>
      </c>
      <c r="Z165" s="20">
        <v>0</v>
      </c>
      <c r="AA165" s="20">
        <v>0</v>
      </c>
      <c r="AB165" s="20">
        <v>0</v>
      </c>
      <c r="AC165" s="20">
        <v>5.8162400000000005</v>
      </c>
      <c r="AD165" s="20">
        <v>0</v>
      </c>
      <c r="AE165" s="20">
        <v>0</v>
      </c>
      <c r="AF165" s="20">
        <v>4.0837500000000002</v>
      </c>
      <c r="AG165" s="20">
        <v>0</v>
      </c>
      <c r="AH165" s="20">
        <v>0</v>
      </c>
      <c r="AI165" s="20">
        <v>0.32250000000000001</v>
      </c>
      <c r="AJ165" s="20">
        <v>0</v>
      </c>
      <c r="AK165" s="20">
        <v>0</v>
      </c>
      <c r="AL165" s="20">
        <v>0</v>
      </c>
      <c r="AM165" s="20">
        <v>0</v>
      </c>
      <c r="AN165" s="20">
        <v>25.127009999999999</v>
      </c>
      <c r="AO165" s="20">
        <v>0</v>
      </c>
      <c r="AP165" s="20">
        <v>0</v>
      </c>
      <c r="AQ165" s="20">
        <v>0</v>
      </c>
      <c r="AR165" s="20">
        <v>3.3360000000000003</v>
      </c>
      <c r="AS165" s="20">
        <v>0</v>
      </c>
      <c r="AT165" s="20">
        <v>0</v>
      </c>
      <c r="AU165" s="20">
        <v>10.92</v>
      </c>
      <c r="AV165" s="20">
        <v>19.024000000000001</v>
      </c>
      <c r="AW165" s="20">
        <v>0</v>
      </c>
      <c r="AX165" s="20">
        <v>0</v>
      </c>
      <c r="AY165" s="20">
        <v>0</v>
      </c>
      <c r="AZ165" s="20">
        <v>0</v>
      </c>
      <c r="BA165" s="20">
        <v>10.4125</v>
      </c>
      <c r="BB165" s="20">
        <v>0</v>
      </c>
      <c r="BC165" s="20">
        <v>0</v>
      </c>
      <c r="BD165" s="20">
        <v>0</v>
      </c>
      <c r="BE165" s="20">
        <v>0</v>
      </c>
      <c r="BF165" s="20">
        <v>0</v>
      </c>
      <c r="BG165" s="20">
        <v>0</v>
      </c>
      <c r="BH165" s="20">
        <v>0</v>
      </c>
      <c r="BI165" s="20">
        <v>0</v>
      </c>
      <c r="BJ165" s="20">
        <v>0</v>
      </c>
      <c r="BK165" s="20">
        <v>0</v>
      </c>
      <c r="BL165" s="20">
        <v>0</v>
      </c>
      <c r="BM165" s="14"/>
    </row>
    <row r="166" spans="1:65" x14ac:dyDescent="0.25">
      <c r="A166" s="17" t="str">
        <v>PHF Horse Mixes</v>
      </c>
      <c r="B166" s="17" t="str">
        <v>IRT Sweetfeed</v>
      </c>
      <c r="C166" s="242">
        <f t="shared" si="5"/>
        <v>78.319649999999996</v>
      </c>
      <c r="D166" s="243">
        <f t="shared" si="4"/>
        <v>0.78319649999999996</v>
      </c>
      <c r="E166" s="20">
        <v>2.9483999999999999</v>
      </c>
      <c r="F166" s="20">
        <v>2.5</v>
      </c>
      <c r="G166" s="20">
        <v>0</v>
      </c>
      <c r="H166" s="20">
        <v>0</v>
      </c>
      <c r="I166" s="20">
        <v>0</v>
      </c>
      <c r="J166" s="20">
        <v>0</v>
      </c>
      <c r="K166" s="20">
        <v>0</v>
      </c>
      <c r="L166" s="18">
        <v>0</v>
      </c>
      <c r="M166" s="18">
        <v>0</v>
      </c>
      <c r="N166" s="20">
        <v>0</v>
      </c>
      <c r="O166" s="20">
        <v>0</v>
      </c>
      <c r="P166" s="20">
        <v>0</v>
      </c>
      <c r="Q166" s="20">
        <v>0</v>
      </c>
      <c r="R166" s="20">
        <v>0</v>
      </c>
      <c r="S166" s="20">
        <v>0</v>
      </c>
      <c r="T166" s="20">
        <v>0</v>
      </c>
      <c r="U166" s="20">
        <v>0</v>
      </c>
      <c r="V166" s="20">
        <v>0</v>
      </c>
      <c r="W166" s="20">
        <v>0</v>
      </c>
      <c r="X166" s="20">
        <v>0</v>
      </c>
      <c r="Y166" s="20">
        <v>0</v>
      </c>
      <c r="Z166" s="20">
        <v>0</v>
      </c>
      <c r="AA166" s="20">
        <v>7.1737499999999992</v>
      </c>
      <c r="AB166" s="20">
        <v>0</v>
      </c>
      <c r="AC166" s="20">
        <v>10.464000000000002</v>
      </c>
      <c r="AD166" s="20">
        <v>0</v>
      </c>
      <c r="AE166" s="20">
        <v>0</v>
      </c>
      <c r="AF166" s="20">
        <v>4.9005000000000001</v>
      </c>
      <c r="AG166" s="20">
        <v>0</v>
      </c>
      <c r="AH166" s="20">
        <v>0</v>
      </c>
      <c r="AI166" s="20">
        <v>0.32250000000000001</v>
      </c>
      <c r="AJ166" s="20">
        <v>0</v>
      </c>
      <c r="AK166" s="20">
        <v>0</v>
      </c>
      <c r="AL166" s="20">
        <v>0</v>
      </c>
      <c r="AM166" s="20">
        <v>0</v>
      </c>
      <c r="AN166" s="20">
        <v>26.230499999999999</v>
      </c>
      <c r="AO166" s="20">
        <v>0</v>
      </c>
      <c r="AP166" s="20">
        <v>0</v>
      </c>
      <c r="AQ166" s="20">
        <v>0</v>
      </c>
      <c r="AR166" s="20">
        <v>0</v>
      </c>
      <c r="AS166" s="20">
        <v>0</v>
      </c>
      <c r="AT166" s="20">
        <v>0</v>
      </c>
      <c r="AU166" s="20">
        <v>0</v>
      </c>
      <c r="AV166" s="20">
        <v>23.78</v>
      </c>
      <c r="AW166" s="20">
        <v>0</v>
      </c>
      <c r="AX166" s="20">
        <v>0</v>
      </c>
      <c r="AY166" s="20">
        <v>0</v>
      </c>
      <c r="AZ166" s="20">
        <v>0</v>
      </c>
      <c r="BA166" s="20">
        <v>0</v>
      </c>
      <c r="BB166" s="20">
        <v>0</v>
      </c>
      <c r="BC166" s="20">
        <v>0</v>
      </c>
      <c r="BD166" s="20">
        <v>0</v>
      </c>
      <c r="BE166" s="20">
        <v>0</v>
      </c>
      <c r="BF166" s="20">
        <v>0</v>
      </c>
      <c r="BG166" s="20">
        <v>0</v>
      </c>
      <c r="BH166" s="20">
        <v>0</v>
      </c>
      <c r="BI166" s="20">
        <v>0</v>
      </c>
      <c r="BJ166" s="20">
        <v>0</v>
      </c>
      <c r="BK166" s="20">
        <v>0</v>
      </c>
      <c r="BL166" s="20">
        <v>0</v>
      </c>
      <c r="BM166" s="14"/>
    </row>
    <row r="167" spans="1:65" x14ac:dyDescent="0.25">
      <c r="A167" s="17" t="str">
        <v>PHF Horse Mixes</v>
      </c>
      <c r="B167" s="17" t="str">
        <v>McGuigan / O'Farrell No Oat / Pateman</v>
      </c>
      <c r="C167" s="242">
        <f t="shared" si="5"/>
        <v>87.692099999999996</v>
      </c>
      <c r="D167" s="243">
        <f t="shared" si="4"/>
        <v>0.89027512690355326</v>
      </c>
      <c r="E167" s="20">
        <v>4.4226000000000001</v>
      </c>
      <c r="F167" s="20">
        <v>2.5</v>
      </c>
      <c r="G167" s="20">
        <v>0</v>
      </c>
      <c r="H167" s="20">
        <v>0</v>
      </c>
      <c r="I167" s="20">
        <v>0</v>
      </c>
      <c r="J167" s="20">
        <v>0</v>
      </c>
      <c r="K167" s="20">
        <v>0</v>
      </c>
      <c r="L167" s="18">
        <v>0</v>
      </c>
      <c r="M167" s="18">
        <v>0</v>
      </c>
      <c r="N167" s="20">
        <v>0</v>
      </c>
      <c r="O167" s="20">
        <v>0</v>
      </c>
      <c r="P167" s="20">
        <v>0</v>
      </c>
      <c r="Q167" s="20">
        <v>0</v>
      </c>
      <c r="R167" s="20">
        <v>0</v>
      </c>
      <c r="S167" s="20">
        <v>0</v>
      </c>
      <c r="T167" s="20">
        <v>0</v>
      </c>
      <c r="U167" s="20">
        <v>0</v>
      </c>
      <c r="V167" s="20">
        <v>0</v>
      </c>
      <c r="W167" s="20">
        <v>0</v>
      </c>
      <c r="X167" s="20">
        <v>0</v>
      </c>
      <c r="Y167" s="20">
        <v>0</v>
      </c>
      <c r="Z167" s="20">
        <v>0</v>
      </c>
      <c r="AA167" s="20">
        <v>0</v>
      </c>
      <c r="AB167" s="20">
        <v>0</v>
      </c>
      <c r="AC167" s="20">
        <v>0</v>
      </c>
      <c r="AD167" s="20">
        <v>0</v>
      </c>
      <c r="AE167" s="20">
        <v>0</v>
      </c>
      <c r="AF167" s="20">
        <v>3.2669999999999999</v>
      </c>
      <c r="AG167" s="20">
        <v>0</v>
      </c>
      <c r="AH167" s="20">
        <v>0</v>
      </c>
      <c r="AI167" s="20">
        <v>0.32250000000000001</v>
      </c>
      <c r="AJ167" s="20">
        <v>0</v>
      </c>
      <c r="AK167" s="20">
        <v>0</v>
      </c>
      <c r="AL167" s="20">
        <v>0</v>
      </c>
      <c r="AM167" s="20">
        <v>0</v>
      </c>
      <c r="AN167" s="20">
        <v>24.119999999999997</v>
      </c>
      <c r="AO167" s="20">
        <v>12.9</v>
      </c>
      <c r="AP167" s="20">
        <v>16.380000000000003</v>
      </c>
      <c r="AQ167" s="20">
        <v>0</v>
      </c>
      <c r="AR167" s="20">
        <v>0</v>
      </c>
      <c r="AS167" s="20">
        <v>0</v>
      </c>
      <c r="AT167" s="20">
        <v>0</v>
      </c>
      <c r="AU167" s="20">
        <v>0</v>
      </c>
      <c r="AV167" s="20">
        <v>23.78</v>
      </c>
      <c r="AW167" s="20">
        <v>0</v>
      </c>
      <c r="AX167" s="20">
        <v>0</v>
      </c>
      <c r="AY167" s="20">
        <v>0</v>
      </c>
      <c r="AZ167" s="20">
        <v>0</v>
      </c>
      <c r="BA167" s="20">
        <v>0</v>
      </c>
      <c r="BB167" s="20">
        <v>0</v>
      </c>
      <c r="BC167" s="20">
        <v>0</v>
      </c>
      <c r="BD167" s="20">
        <v>0</v>
      </c>
      <c r="BE167" s="20">
        <v>0</v>
      </c>
      <c r="BF167" s="20">
        <v>0</v>
      </c>
      <c r="BG167" s="20">
        <v>0</v>
      </c>
      <c r="BH167" s="20">
        <v>0</v>
      </c>
      <c r="BI167" s="20">
        <v>0</v>
      </c>
      <c r="BJ167" s="20">
        <v>0</v>
      </c>
      <c r="BK167" s="20">
        <v>0</v>
      </c>
      <c r="BL167" s="20">
        <v>0</v>
      </c>
      <c r="BM167" s="14"/>
    </row>
    <row r="168" spans="1:65" x14ac:dyDescent="0.25">
      <c r="A168" s="17" t="str">
        <v>PHF Horse Mixes</v>
      </c>
      <c r="B168" s="17" t="str">
        <v>Tyler / Work Horse / O'Farrell Pre Train</v>
      </c>
      <c r="C168" s="242">
        <f t="shared" si="5"/>
        <v>101.761225</v>
      </c>
      <c r="D168" s="243">
        <f t="shared" si="4"/>
        <v>1.01761225</v>
      </c>
      <c r="E168" s="20">
        <v>4.4226000000000001</v>
      </c>
      <c r="F168" s="20">
        <v>2.5</v>
      </c>
      <c r="G168" s="20">
        <v>0</v>
      </c>
      <c r="H168" s="20">
        <v>0</v>
      </c>
      <c r="I168" s="20">
        <v>0</v>
      </c>
      <c r="J168" s="20">
        <v>0</v>
      </c>
      <c r="K168" s="20">
        <v>0</v>
      </c>
      <c r="L168" s="18">
        <v>0</v>
      </c>
      <c r="M168" s="18">
        <v>0</v>
      </c>
      <c r="N168" s="20">
        <v>0</v>
      </c>
      <c r="O168" s="20">
        <v>0</v>
      </c>
      <c r="P168" s="20">
        <v>0</v>
      </c>
      <c r="Q168" s="20">
        <v>0</v>
      </c>
      <c r="R168" s="20">
        <v>0</v>
      </c>
      <c r="S168" s="20">
        <v>0</v>
      </c>
      <c r="T168" s="20">
        <v>0</v>
      </c>
      <c r="U168" s="20">
        <v>0</v>
      </c>
      <c r="V168" s="20">
        <v>0</v>
      </c>
      <c r="W168" s="20">
        <v>0</v>
      </c>
      <c r="X168" s="20">
        <v>0</v>
      </c>
      <c r="Y168" s="20">
        <v>0</v>
      </c>
      <c r="Z168" s="20">
        <v>0</v>
      </c>
      <c r="AA168" s="20">
        <v>0</v>
      </c>
      <c r="AB168" s="20">
        <v>0</v>
      </c>
      <c r="AC168" s="20">
        <v>0</v>
      </c>
      <c r="AD168" s="20">
        <v>0</v>
      </c>
      <c r="AE168" s="20">
        <v>0</v>
      </c>
      <c r="AF168" s="20">
        <v>3.6753749999999998</v>
      </c>
      <c r="AG168" s="20">
        <v>0</v>
      </c>
      <c r="AH168" s="20">
        <v>0</v>
      </c>
      <c r="AI168" s="20">
        <v>0</v>
      </c>
      <c r="AJ168" s="20">
        <v>0</v>
      </c>
      <c r="AK168" s="20">
        <v>0</v>
      </c>
      <c r="AL168" s="20">
        <v>0</v>
      </c>
      <c r="AM168" s="20">
        <v>0</v>
      </c>
      <c r="AN168" s="20">
        <v>9.6479999999999997</v>
      </c>
      <c r="AO168" s="20">
        <v>0</v>
      </c>
      <c r="AP168" s="20">
        <v>8.7360000000000007</v>
      </c>
      <c r="AQ168" s="20">
        <v>4.03125</v>
      </c>
      <c r="AR168" s="20">
        <v>3</v>
      </c>
      <c r="AS168" s="20">
        <v>19.86</v>
      </c>
      <c r="AT168" s="20">
        <v>45.887999999999998</v>
      </c>
      <c r="AU168" s="20">
        <v>0</v>
      </c>
      <c r="AV168" s="20">
        <v>0</v>
      </c>
      <c r="AW168" s="20">
        <v>0</v>
      </c>
      <c r="AX168" s="20">
        <v>0</v>
      </c>
      <c r="AY168" s="20">
        <v>0</v>
      </c>
      <c r="AZ168" s="20">
        <v>0</v>
      </c>
      <c r="BA168" s="20">
        <v>0</v>
      </c>
      <c r="BB168" s="20">
        <v>0</v>
      </c>
      <c r="BC168" s="20">
        <v>0</v>
      </c>
      <c r="BD168" s="20">
        <v>0</v>
      </c>
      <c r="BE168" s="20">
        <v>0</v>
      </c>
      <c r="BF168" s="20">
        <v>0</v>
      </c>
      <c r="BG168" s="20">
        <v>0</v>
      </c>
      <c r="BH168" s="20">
        <v>0</v>
      </c>
      <c r="BI168" s="20">
        <v>0</v>
      </c>
      <c r="BJ168" s="20">
        <v>0</v>
      </c>
      <c r="BK168" s="20">
        <v>0</v>
      </c>
      <c r="BL168" s="20">
        <v>0</v>
      </c>
      <c r="BM168" s="14"/>
    </row>
    <row r="169" spans="1:65" x14ac:dyDescent="0.25">
      <c r="A169" s="17" t="str">
        <v>PHF Horse Mixes</v>
      </c>
      <c r="B169" s="17" t="str">
        <v>Race Mix</v>
      </c>
      <c r="C169" s="242">
        <f t="shared" si="5"/>
        <v>96.711800000000011</v>
      </c>
      <c r="D169" s="243">
        <f t="shared" si="4"/>
        <v>0.96711800000000014</v>
      </c>
      <c r="E169" s="20">
        <v>5.8967999999999998</v>
      </c>
      <c r="F169" s="20">
        <v>5.625</v>
      </c>
      <c r="G169" s="20">
        <v>0</v>
      </c>
      <c r="H169" s="20">
        <v>0</v>
      </c>
      <c r="I169" s="20">
        <v>0</v>
      </c>
      <c r="J169" s="20">
        <v>0</v>
      </c>
      <c r="K169" s="20">
        <v>0</v>
      </c>
      <c r="L169" s="18">
        <v>0</v>
      </c>
      <c r="M169" s="18">
        <v>19.68</v>
      </c>
      <c r="N169" s="20">
        <v>0</v>
      </c>
      <c r="O169" s="20">
        <v>0</v>
      </c>
      <c r="P169" s="20">
        <v>0</v>
      </c>
      <c r="Q169" s="20">
        <v>0</v>
      </c>
      <c r="R169" s="20">
        <v>0</v>
      </c>
      <c r="S169" s="20">
        <v>0</v>
      </c>
      <c r="T169" s="20">
        <v>0</v>
      </c>
      <c r="U169" s="20">
        <v>0</v>
      </c>
      <c r="V169" s="20">
        <v>0</v>
      </c>
      <c r="W169" s="20">
        <v>0</v>
      </c>
      <c r="X169" s="20">
        <v>0</v>
      </c>
      <c r="Y169" s="20">
        <v>0</v>
      </c>
      <c r="Z169" s="20">
        <v>0</v>
      </c>
      <c r="AA169" s="20">
        <v>0</v>
      </c>
      <c r="AB169" s="20">
        <v>0</v>
      </c>
      <c r="AC169" s="20">
        <v>0</v>
      </c>
      <c r="AD169" s="20">
        <v>0</v>
      </c>
      <c r="AE169" s="20">
        <v>0</v>
      </c>
      <c r="AF169" s="20">
        <v>4.0837500000000002</v>
      </c>
      <c r="AG169" s="20">
        <v>0</v>
      </c>
      <c r="AH169" s="20">
        <v>0</v>
      </c>
      <c r="AI169" s="20">
        <v>0.48375000000000001</v>
      </c>
      <c r="AJ169" s="20">
        <v>0.33000000000000007</v>
      </c>
      <c r="AK169" s="20">
        <v>0</v>
      </c>
      <c r="AL169" s="20">
        <v>0</v>
      </c>
      <c r="AM169" s="20">
        <v>0</v>
      </c>
      <c r="AN169" s="20">
        <v>1.206</v>
      </c>
      <c r="AO169" s="20">
        <v>13.76</v>
      </c>
      <c r="AP169" s="20">
        <v>13.104000000000001</v>
      </c>
      <c r="AQ169" s="20">
        <v>0</v>
      </c>
      <c r="AR169" s="20">
        <v>0</v>
      </c>
      <c r="AS169" s="20">
        <v>26.48</v>
      </c>
      <c r="AT169" s="20">
        <v>0</v>
      </c>
      <c r="AU169" s="20">
        <v>0</v>
      </c>
      <c r="AV169" s="20">
        <v>0</v>
      </c>
      <c r="AW169" s="20">
        <v>0</v>
      </c>
      <c r="AX169" s="20">
        <v>0</v>
      </c>
      <c r="AY169" s="20">
        <v>0</v>
      </c>
      <c r="AZ169" s="20">
        <v>0</v>
      </c>
      <c r="BA169" s="20">
        <v>0</v>
      </c>
      <c r="BB169" s="20">
        <v>0</v>
      </c>
      <c r="BC169" s="20">
        <v>0</v>
      </c>
      <c r="BD169" s="20">
        <v>6.0625</v>
      </c>
      <c r="BE169" s="20">
        <v>0</v>
      </c>
      <c r="BF169" s="20">
        <v>0</v>
      </c>
      <c r="BG169" s="20">
        <v>0</v>
      </c>
      <c r="BH169" s="20">
        <v>0</v>
      </c>
      <c r="BI169" s="20">
        <v>0</v>
      </c>
      <c r="BJ169" s="20">
        <v>0</v>
      </c>
      <c r="BK169" s="20">
        <v>0</v>
      </c>
      <c r="BL169" s="20">
        <v>0</v>
      </c>
      <c r="BM169" s="14"/>
    </row>
    <row r="170" spans="1:65" x14ac:dyDescent="0.25">
      <c r="A170" s="17" t="str">
        <v>PHF Horse Mixes</v>
      </c>
      <c r="B170" s="17" t="str">
        <v>Nigel Filly</v>
      </c>
      <c r="C170" s="242">
        <f t="shared" si="5"/>
        <v>115.61165</v>
      </c>
      <c r="D170" s="243">
        <f t="shared" si="4"/>
        <v>1.2299111702127659</v>
      </c>
      <c r="E170" s="20">
        <v>2.9483999999999999</v>
      </c>
      <c r="F170" s="20">
        <v>5</v>
      </c>
      <c r="G170" s="20">
        <v>0</v>
      </c>
      <c r="H170" s="20">
        <v>0</v>
      </c>
      <c r="I170" s="20">
        <v>0</v>
      </c>
      <c r="J170" s="20">
        <v>0</v>
      </c>
      <c r="K170" s="20">
        <v>0</v>
      </c>
      <c r="L170" s="18">
        <v>0</v>
      </c>
      <c r="M170" s="18">
        <v>4.8</v>
      </c>
      <c r="N170" s="20">
        <v>0</v>
      </c>
      <c r="O170" s="20">
        <v>0</v>
      </c>
      <c r="P170" s="20">
        <v>0</v>
      </c>
      <c r="Q170" s="20">
        <v>0</v>
      </c>
      <c r="R170" s="20">
        <v>0</v>
      </c>
      <c r="S170" s="20">
        <v>0</v>
      </c>
      <c r="T170" s="20">
        <v>0</v>
      </c>
      <c r="U170" s="20">
        <v>0</v>
      </c>
      <c r="V170" s="20">
        <v>0</v>
      </c>
      <c r="W170" s="20">
        <v>0</v>
      </c>
      <c r="X170" s="20">
        <v>0</v>
      </c>
      <c r="Y170" s="20">
        <v>0</v>
      </c>
      <c r="Z170" s="20">
        <v>0</v>
      </c>
      <c r="AA170" s="20">
        <v>0</v>
      </c>
      <c r="AB170" s="20">
        <v>0</v>
      </c>
      <c r="AC170" s="20">
        <v>0</v>
      </c>
      <c r="AD170" s="20">
        <v>0</v>
      </c>
      <c r="AE170" s="20">
        <v>0</v>
      </c>
      <c r="AF170" s="20">
        <v>4.0837500000000002</v>
      </c>
      <c r="AG170" s="20">
        <v>0</v>
      </c>
      <c r="AH170" s="20">
        <v>0</v>
      </c>
      <c r="AI170" s="20">
        <v>0.32250000000000001</v>
      </c>
      <c r="AJ170" s="20">
        <v>0.22000000000000003</v>
      </c>
      <c r="AK170" s="20">
        <v>0</v>
      </c>
      <c r="AL170" s="20">
        <v>0</v>
      </c>
      <c r="AM170" s="20">
        <v>0</v>
      </c>
      <c r="AN170" s="20">
        <v>6.0299999999999994</v>
      </c>
      <c r="AO170" s="20">
        <v>6.88</v>
      </c>
      <c r="AP170" s="20">
        <v>6.5520000000000005</v>
      </c>
      <c r="AQ170" s="20">
        <v>0</v>
      </c>
      <c r="AR170" s="20">
        <v>0</v>
      </c>
      <c r="AS170" s="20">
        <v>24.824999999999999</v>
      </c>
      <c r="AT170" s="20">
        <v>0</v>
      </c>
      <c r="AU170" s="20">
        <v>11.700000000000001</v>
      </c>
      <c r="AV170" s="20">
        <v>0</v>
      </c>
      <c r="AW170" s="20">
        <v>0</v>
      </c>
      <c r="AX170" s="20">
        <v>24</v>
      </c>
      <c r="AY170" s="20">
        <v>0</v>
      </c>
      <c r="AZ170" s="20">
        <v>18.25</v>
      </c>
      <c r="BA170" s="20">
        <v>0</v>
      </c>
      <c r="BB170" s="20">
        <v>0</v>
      </c>
      <c r="BC170" s="20">
        <v>0</v>
      </c>
      <c r="BD170" s="20">
        <v>0</v>
      </c>
      <c r="BE170" s="20">
        <v>0</v>
      </c>
      <c r="BF170" s="20">
        <v>0</v>
      </c>
      <c r="BG170" s="20">
        <v>0</v>
      </c>
      <c r="BH170" s="20">
        <v>0</v>
      </c>
      <c r="BI170" s="20">
        <v>0</v>
      </c>
      <c r="BJ170" s="20">
        <v>0</v>
      </c>
      <c r="BK170" s="20">
        <v>0</v>
      </c>
      <c r="BL170" s="20">
        <v>0</v>
      </c>
      <c r="BM170" s="14"/>
    </row>
    <row r="171" spans="1:65" x14ac:dyDescent="0.25">
      <c r="A171" s="17" t="str">
        <v>PHF Horse Mixes</v>
      </c>
      <c r="B171" s="17" t="str">
        <v>PHF Mash</v>
      </c>
      <c r="C171" s="242">
        <f t="shared" si="5"/>
        <v>77.75</v>
      </c>
      <c r="D171" s="243">
        <f t="shared" si="4"/>
        <v>0.85439560439560436</v>
      </c>
      <c r="E171" s="20">
        <v>0</v>
      </c>
      <c r="F171" s="20">
        <v>0</v>
      </c>
      <c r="G171" s="20">
        <v>0</v>
      </c>
      <c r="H171" s="20">
        <v>0</v>
      </c>
      <c r="I171" s="20">
        <v>0</v>
      </c>
      <c r="J171" s="20">
        <v>0</v>
      </c>
      <c r="K171" s="20">
        <v>0</v>
      </c>
      <c r="L171" s="18">
        <v>0</v>
      </c>
      <c r="M171" s="18">
        <v>0</v>
      </c>
      <c r="N171" s="20">
        <v>0</v>
      </c>
      <c r="O171" s="20">
        <v>0</v>
      </c>
      <c r="P171" s="20">
        <v>0</v>
      </c>
      <c r="Q171" s="20">
        <v>0</v>
      </c>
      <c r="R171" s="20">
        <v>0</v>
      </c>
      <c r="S171" s="20">
        <v>0</v>
      </c>
      <c r="T171" s="20">
        <v>0</v>
      </c>
      <c r="U171" s="20">
        <v>0</v>
      </c>
      <c r="V171" s="20">
        <v>0</v>
      </c>
      <c r="W171" s="20">
        <v>0</v>
      </c>
      <c r="X171" s="20">
        <v>0</v>
      </c>
      <c r="Y171" s="20">
        <v>0</v>
      </c>
      <c r="Z171" s="20">
        <v>0</v>
      </c>
      <c r="AA171" s="20">
        <v>0</v>
      </c>
      <c r="AB171" s="20">
        <v>0</v>
      </c>
      <c r="AC171" s="20">
        <v>8.7200000000000006</v>
      </c>
      <c r="AD171" s="20">
        <v>0</v>
      </c>
      <c r="AE171" s="20">
        <v>0</v>
      </c>
      <c r="AF171" s="20">
        <v>0</v>
      </c>
      <c r="AG171" s="20">
        <v>0</v>
      </c>
      <c r="AH171" s="20">
        <v>0</v>
      </c>
      <c r="AI171" s="20">
        <v>0</v>
      </c>
      <c r="AJ171" s="20">
        <v>0.44000000000000006</v>
      </c>
      <c r="AK171" s="20">
        <v>0</v>
      </c>
      <c r="AL171" s="20">
        <v>0</v>
      </c>
      <c r="AM171" s="20">
        <v>0</v>
      </c>
      <c r="AN171" s="20">
        <v>18.09</v>
      </c>
      <c r="AO171" s="20">
        <v>0</v>
      </c>
      <c r="AP171" s="20">
        <v>0</v>
      </c>
      <c r="AQ171" s="20">
        <v>0</v>
      </c>
      <c r="AR171" s="20">
        <v>0</v>
      </c>
      <c r="AS171" s="20">
        <v>0</v>
      </c>
      <c r="AT171" s="20">
        <v>0</v>
      </c>
      <c r="AU171" s="20">
        <v>0</v>
      </c>
      <c r="AV171" s="20">
        <v>0</v>
      </c>
      <c r="AW171" s="20">
        <v>0</v>
      </c>
      <c r="AX171" s="20">
        <v>0</v>
      </c>
      <c r="AY171" s="20">
        <v>0</v>
      </c>
      <c r="AZ171" s="20">
        <v>0</v>
      </c>
      <c r="BA171" s="20">
        <v>12.5</v>
      </c>
      <c r="BB171" s="20">
        <v>19.5</v>
      </c>
      <c r="BC171" s="20">
        <v>18.5</v>
      </c>
      <c r="BD171" s="20">
        <v>0</v>
      </c>
      <c r="BE171" s="20">
        <v>0</v>
      </c>
      <c r="BF171" s="20">
        <v>0</v>
      </c>
      <c r="BG171" s="20">
        <v>0</v>
      </c>
      <c r="BH171" s="20">
        <v>0</v>
      </c>
      <c r="BI171" s="20">
        <v>0</v>
      </c>
      <c r="BJ171" s="20">
        <v>0</v>
      </c>
      <c r="BK171" s="20">
        <v>0</v>
      </c>
      <c r="BL171" s="20">
        <v>0</v>
      </c>
      <c r="BM171" s="14"/>
    </row>
    <row r="172" spans="1:65" x14ac:dyDescent="0.25">
      <c r="A172" s="17" t="str">
        <v>PHF Horse Mixes</v>
      </c>
      <c r="B172" s="17" t="str">
        <v>Spelling</v>
      </c>
      <c r="C172" s="242">
        <f t="shared" si="5"/>
        <v>92.927750000000003</v>
      </c>
      <c r="D172" s="243">
        <f t="shared" si="4"/>
        <v>0.92927749999999998</v>
      </c>
      <c r="E172" s="20">
        <v>0</v>
      </c>
      <c r="F172" s="20">
        <v>5</v>
      </c>
      <c r="G172" s="20">
        <v>0</v>
      </c>
      <c r="H172" s="20">
        <v>0</v>
      </c>
      <c r="I172" s="20">
        <v>0</v>
      </c>
      <c r="J172" s="20">
        <v>0</v>
      </c>
      <c r="K172" s="20">
        <v>0</v>
      </c>
      <c r="L172" s="18">
        <v>0</v>
      </c>
      <c r="M172" s="18">
        <v>0</v>
      </c>
      <c r="N172" s="20">
        <v>0</v>
      </c>
      <c r="O172" s="20">
        <v>0</v>
      </c>
      <c r="P172" s="20">
        <v>0</v>
      </c>
      <c r="Q172" s="20">
        <v>0</v>
      </c>
      <c r="R172" s="20">
        <v>0</v>
      </c>
      <c r="S172" s="20">
        <v>0</v>
      </c>
      <c r="T172" s="20">
        <v>0</v>
      </c>
      <c r="U172" s="20">
        <v>0</v>
      </c>
      <c r="V172" s="20">
        <v>0</v>
      </c>
      <c r="W172" s="20">
        <v>0</v>
      </c>
      <c r="X172" s="20">
        <v>0</v>
      </c>
      <c r="Y172" s="20">
        <v>0</v>
      </c>
      <c r="Z172" s="20">
        <v>0</v>
      </c>
      <c r="AA172" s="20">
        <v>0</v>
      </c>
      <c r="AB172" s="20">
        <v>0</v>
      </c>
      <c r="AC172" s="20">
        <v>8.7200000000000006</v>
      </c>
      <c r="AD172" s="20">
        <v>0</v>
      </c>
      <c r="AE172" s="20">
        <v>0</v>
      </c>
      <c r="AF172" s="20">
        <v>4.0837500000000002</v>
      </c>
      <c r="AG172" s="20">
        <v>0</v>
      </c>
      <c r="AH172" s="20">
        <v>0</v>
      </c>
      <c r="AI172" s="20">
        <v>0</v>
      </c>
      <c r="AJ172" s="20">
        <v>0</v>
      </c>
      <c r="AK172" s="20">
        <v>0</v>
      </c>
      <c r="AL172" s="20">
        <v>0</v>
      </c>
      <c r="AM172" s="20">
        <v>0</v>
      </c>
      <c r="AN172" s="20">
        <v>13.869</v>
      </c>
      <c r="AO172" s="20">
        <v>0</v>
      </c>
      <c r="AP172" s="20">
        <v>0</v>
      </c>
      <c r="AQ172" s="20">
        <v>5.375</v>
      </c>
      <c r="AR172" s="20">
        <v>4</v>
      </c>
      <c r="AS172" s="20">
        <v>0</v>
      </c>
      <c r="AT172" s="20">
        <v>0</v>
      </c>
      <c r="AU172" s="20">
        <v>15.600000000000001</v>
      </c>
      <c r="AV172" s="20">
        <v>23.78</v>
      </c>
      <c r="AW172" s="20">
        <v>0</v>
      </c>
      <c r="AX172" s="20">
        <v>0</v>
      </c>
      <c r="AY172" s="20">
        <v>0</v>
      </c>
      <c r="AZ172" s="20">
        <v>0</v>
      </c>
      <c r="BA172" s="20">
        <v>12.5</v>
      </c>
      <c r="BB172" s="20">
        <v>0</v>
      </c>
      <c r="BC172" s="20">
        <v>0</v>
      </c>
      <c r="BD172" s="20">
        <v>0</v>
      </c>
      <c r="BE172" s="20">
        <v>0</v>
      </c>
      <c r="BF172" s="20">
        <v>0</v>
      </c>
      <c r="BG172" s="20">
        <v>0</v>
      </c>
      <c r="BH172" s="20">
        <v>0</v>
      </c>
      <c r="BI172" s="20">
        <v>0</v>
      </c>
      <c r="BJ172" s="20">
        <v>0</v>
      </c>
      <c r="BK172" s="20">
        <v>0</v>
      </c>
      <c r="BL172" s="20">
        <v>0</v>
      </c>
      <c r="BM172" s="14"/>
    </row>
    <row r="173" spans="1:65" x14ac:dyDescent="0.25">
      <c r="A173" s="17" t="str">
        <v>PHF Horse Mixes</v>
      </c>
      <c r="B173" s="17" t="str">
        <v>Drink Up</v>
      </c>
      <c r="C173" s="242">
        <f t="shared" si="5"/>
        <v>81.843500000000006</v>
      </c>
      <c r="D173" s="243">
        <f t="shared" si="4"/>
        <v>0.81704602176300289</v>
      </c>
      <c r="E173" s="20">
        <v>7.3709999999999996</v>
      </c>
      <c r="F173" s="20">
        <v>0</v>
      </c>
      <c r="G173" s="20">
        <v>0</v>
      </c>
      <c r="H173" s="20">
        <v>0</v>
      </c>
      <c r="I173" s="20">
        <v>0</v>
      </c>
      <c r="J173" s="20">
        <v>0</v>
      </c>
      <c r="K173" s="20">
        <v>0</v>
      </c>
      <c r="L173" s="18">
        <v>0</v>
      </c>
      <c r="M173" s="18">
        <v>9.6</v>
      </c>
      <c r="N173" s="20">
        <v>0</v>
      </c>
      <c r="O173" s="20">
        <v>0</v>
      </c>
      <c r="P173" s="20">
        <v>0</v>
      </c>
      <c r="Q173" s="20">
        <v>0</v>
      </c>
      <c r="R173" s="20">
        <v>0</v>
      </c>
      <c r="S173" s="20">
        <v>0</v>
      </c>
      <c r="T173" s="20">
        <v>0</v>
      </c>
      <c r="U173" s="20">
        <v>0</v>
      </c>
      <c r="V173" s="20">
        <v>0</v>
      </c>
      <c r="W173" s="20">
        <v>0</v>
      </c>
      <c r="X173" s="20">
        <v>0</v>
      </c>
      <c r="Y173" s="20">
        <v>0</v>
      </c>
      <c r="Z173" s="20">
        <v>0</v>
      </c>
      <c r="AA173" s="20">
        <v>0</v>
      </c>
      <c r="AB173" s="20">
        <v>0</v>
      </c>
      <c r="AC173" s="20">
        <v>0</v>
      </c>
      <c r="AD173" s="20">
        <v>0</v>
      </c>
      <c r="AE173" s="20">
        <v>0</v>
      </c>
      <c r="AF173" s="20">
        <v>8.1675000000000004</v>
      </c>
      <c r="AG173" s="20">
        <v>0</v>
      </c>
      <c r="AH173" s="20">
        <v>0</v>
      </c>
      <c r="AI173" s="20">
        <v>11.61</v>
      </c>
      <c r="AJ173" s="20">
        <v>0</v>
      </c>
      <c r="AK173" s="20">
        <v>0</v>
      </c>
      <c r="AL173" s="20">
        <v>0</v>
      </c>
      <c r="AM173" s="20">
        <v>0</v>
      </c>
      <c r="AN173" s="20">
        <v>18.09</v>
      </c>
      <c r="AO173" s="20">
        <v>8.6</v>
      </c>
      <c r="AP173" s="20">
        <v>0</v>
      </c>
      <c r="AQ173" s="20">
        <v>0</v>
      </c>
      <c r="AR173" s="20">
        <v>0</v>
      </c>
      <c r="AS173" s="20">
        <v>0</v>
      </c>
      <c r="AT173" s="20">
        <v>0</v>
      </c>
      <c r="AU173" s="20">
        <v>0</v>
      </c>
      <c r="AV173" s="20">
        <v>0</v>
      </c>
      <c r="AW173" s="20">
        <v>0</v>
      </c>
      <c r="AX173" s="20">
        <v>0</v>
      </c>
      <c r="AY173" s="20">
        <v>0</v>
      </c>
      <c r="AZ173" s="20">
        <v>0</v>
      </c>
      <c r="BA173" s="20">
        <v>0</v>
      </c>
      <c r="BB173" s="20">
        <v>4.875</v>
      </c>
      <c r="BC173" s="20">
        <v>0</v>
      </c>
      <c r="BD173" s="20">
        <v>0</v>
      </c>
      <c r="BE173" s="20">
        <v>12</v>
      </c>
      <c r="BF173" s="20">
        <v>0</v>
      </c>
      <c r="BG173" s="20">
        <v>0</v>
      </c>
      <c r="BH173" s="20">
        <v>0</v>
      </c>
      <c r="BI173" s="20">
        <v>0</v>
      </c>
      <c r="BJ173" s="20">
        <v>0</v>
      </c>
      <c r="BK173" s="20">
        <v>1.5299999999999998</v>
      </c>
      <c r="BL173" s="20">
        <v>0</v>
      </c>
      <c r="BM173" s="14"/>
    </row>
    <row r="174" spans="1:65" x14ac:dyDescent="0.25">
      <c r="A174" s="17" t="str">
        <v>PHF Horse Mixes</v>
      </c>
      <c r="B174" s="17" t="str">
        <v>Old Horse Mix / Aged Care</v>
      </c>
      <c r="C174" s="242">
        <f t="shared" si="5"/>
        <v>110.021</v>
      </c>
      <c r="D174" s="243">
        <f t="shared" si="4"/>
        <v>1.1002099999999999</v>
      </c>
      <c r="E174" s="20">
        <v>0</v>
      </c>
      <c r="F174" s="20">
        <v>5</v>
      </c>
      <c r="G174" s="20">
        <v>0</v>
      </c>
      <c r="H174" s="20">
        <v>0</v>
      </c>
      <c r="I174" s="20">
        <v>0</v>
      </c>
      <c r="J174" s="20">
        <v>0</v>
      </c>
      <c r="K174" s="20">
        <v>0</v>
      </c>
      <c r="L174" s="18">
        <v>0</v>
      </c>
      <c r="M174" s="18">
        <v>0</v>
      </c>
      <c r="N174" s="20">
        <v>0</v>
      </c>
      <c r="O174" s="20">
        <v>0</v>
      </c>
      <c r="P174" s="20">
        <v>0</v>
      </c>
      <c r="Q174" s="20">
        <v>0</v>
      </c>
      <c r="R174" s="20">
        <v>0</v>
      </c>
      <c r="S174" s="20">
        <v>0</v>
      </c>
      <c r="T174" s="20">
        <v>0</v>
      </c>
      <c r="U174" s="20">
        <v>0</v>
      </c>
      <c r="V174" s="20">
        <v>0</v>
      </c>
      <c r="W174" s="20">
        <v>0</v>
      </c>
      <c r="X174" s="20">
        <v>0</v>
      </c>
      <c r="Y174" s="20">
        <v>0</v>
      </c>
      <c r="Z174" s="20">
        <v>0</v>
      </c>
      <c r="AA174" s="20">
        <v>0</v>
      </c>
      <c r="AB174" s="20">
        <v>0</v>
      </c>
      <c r="AC174" s="20">
        <v>0</v>
      </c>
      <c r="AD174" s="20">
        <v>0</v>
      </c>
      <c r="AE174" s="20">
        <v>0</v>
      </c>
      <c r="AF174" s="20">
        <v>3.2669999999999999</v>
      </c>
      <c r="AG174" s="20">
        <v>0</v>
      </c>
      <c r="AH174" s="20">
        <v>0</v>
      </c>
      <c r="AI174" s="20">
        <v>0</v>
      </c>
      <c r="AJ174" s="20">
        <v>0</v>
      </c>
      <c r="AK174" s="20">
        <v>0</v>
      </c>
      <c r="AL174" s="20">
        <v>0</v>
      </c>
      <c r="AM174" s="20">
        <v>0</v>
      </c>
      <c r="AN174" s="20">
        <v>0</v>
      </c>
      <c r="AO174" s="20">
        <v>0</v>
      </c>
      <c r="AP174" s="20">
        <v>10.920000000000002</v>
      </c>
      <c r="AQ174" s="20">
        <v>5.375</v>
      </c>
      <c r="AR174" s="20">
        <v>4</v>
      </c>
      <c r="AS174" s="20">
        <v>8.2750000000000004</v>
      </c>
      <c r="AT174" s="20">
        <v>61.183999999999997</v>
      </c>
      <c r="AU174" s="20">
        <v>0</v>
      </c>
      <c r="AV174" s="20">
        <v>0</v>
      </c>
      <c r="AW174" s="20">
        <v>0</v>
      </c>
      <c r="AX174" s="20">
        <v>12</v>
      </c>
      <c r="AY174" s="20">
        <v>0</v>
      </c>
      <c r="AZ174" s="20">
        <v>0</v>
      </c>
      <c r="BA174" s="20">
        <v>0</v>
      </c>
      <c r="BB174" s="20">
        <v>0</v>
      </c>
      <c r="BC174" s="20">
        <v>0</v>
      </c>
      <c r="BD174" s="20">
        <v>0</v>
      </c>
      <c r="BE174" s="20">
        <v>0</v>
      </c>
      <c r="BF174" s="20">
        <v>0</v>
      </c>
      <c r="BG174" s="20">
        <v>0</v>
      </c>
      <c r="BH174" s="20">
        <v>0</v>
      </c>
      <c r="BI174" s="20">
        <v>0</v>
      </c>
      <c r="BJ174" s="20">
        <v>0</v>
      </c>
      <c r="BK174" s="20">
        <v>0</v>
      </c>
      <c r="BL174" s="20">
        <v>0</v>
      </c>
      <c r="BM174" s="14"/>
    </row>
    <row r="175" spans="1:65" x14ac:dyDescent="0.25">
      <c r="A175" s="17" t="str">
        <v>PHF Horse Mixes</v>
      </c>
      <c r="B175" s="17" t="str">
        <v>EMS Mix</v>
      </c>
      <c r="C175" s="242">
        <f t="shared" si="5"/>
        <v>178.67033333333333</v>
      </c>
      <c r="D175" s="243">
        <f t="shared" si="4"/>
        <v>1.7867033333333333</v>
      </c>
      <c r="E175" s="20">
        <v>0</v>
      </c>
      <c r="F175" s="20">
        <v>0</v>
      </c>
      <c r="G175" s="20">
        <v>0</v>
      </c>
      <c r="H175" s="20">
        <v>0</v>
      </c>
      <c r="I175" s="20">
        <v>0</v>
      </c>
      <c r="J175" s="20">
        <v>0</v>
      </c>
      <c r="K175" s="20">
        <v>0</v>
      </c>
      <c r="L175" s="18">
        <v>0</v>
      </c>
      <c r="M175" s="18">
        <v>0</v>
      </c>
      <c r="N175" s="20">
        <v>0</v>
      </c>
      <c r="O175" s="20">
        <v>0</v>
      </c>
      <c r="P175" s="20">
        <v>0</v>
      </c>
      <c r="Q175" s="20">
        <v>0</v>
      </c>
      <c r="R175" s="20">
        <v>0</v>
      </c>
      <c r="S175" s="20">
        <v>0</v>
      </c>
      <c r="T175" s="20">
        <v>0</v>
      </c>
      <c r="U175" s="20">
        <v>0</v>
      </c>
      <c r="V175" s="20">
        <v>0</v>
      </c>
      <c r="W175" s="20">
        <v>0</v>
      </c>
      <c r="X175" s="20">
        <v>0</v>
      </c>
      <c r="Y175" s="20">
        <v>0</v>
      </c>
      <c r="Z175" s="20">
        <v>0</v>
      </c>
      <c r="AA175" s="20">
        <v>0</v>
      </c>
      <c r="AB175" s="20">
        <v>0</v>
      </c>
      <c r="AC175" s="20">
        <v>0</v>
      </c>
      <c r="AD175" s="20">
        <v>0</v>
      </c>
      <c r="AE175" s="20">
        <v>0</v>
      </c>
      <c r="AF175" s="20">
        <v>0</v>
      </c>
      <c r="AG175" s="20">
        <v>0</v>
      </c>
      <c r="AH175" s="20">
        <v>0</v>
      </c>
      <c r="AI175" s="20">
        <v>0</v>
      </c>
      <c r="AJ175" s="20">
        <v>0</v>
      </c>
      <c r="AK175" s="20">
        <v>0</v>
      </c>
      <c r="AL175" s="20">
        <v>0</v>
      </c>
      <c r="AM175" s="20">
        <v>0</v>
      </c>
      <c r="AN175" s="20">
        <v>0</v>
      </c>
      <c r="AO175" s="20">
        <v>0</v>
      </c>
      <c r="AP175" s="20">
        <v>0</v>
      </c>
      <c r="AQ175" s="20">
        <v>5.375</v>
      </c>
      <c r="AR175" s="20">
        <v>4</v>
      </c>
      <c r="AS175" s="20">
        <v>0</v>
      </c>
      <c r="AT175" s="20">
        <v>0</v>
      </c>
      <c r="AU175" s="20">
        <v>0</v>
      </c>
      <c r="AV175" s="20">
        <v>68.962000000000003</v>
      </c>
      <c r="AW175" s="20">
        <v>0</v>
      </c>
      <c r="AX175" s="20">
        <v>0</v>
      </c>
      <c r="AY175" s="20">
        <v>0</v>
      </c>
      <c r="AZ175" s="20">
        <v>36.5</v>
      </c>
      <c r="BA175" s="20">
        <v>12.5</v>
      </c>
      <c r="BB175" s="20">
        <v>0</v>
      </c>
      <c r="BC175" s="20">
        <v>0</v>
      </c>
      <c r="BD175" s="20">
        <v>0</v>
      </c>
      <c r="BE175" s="20">
        <v>0</v>
      </c>
      <c r="BF175" s="20">
        <v>51.333333333333336</v>
      </c>
      <c r="BG175" s="20">
        <v>0</v>
      </c>
      <c r="BH175" s="20">
        <v>0</v>
      </c>
      <c r="BI175" s="20">
        <v>0</v>
      </c>
      <c r="BJ175" s="20">
        <v>0</v>
      </c>
      <c r="BK175" s="20">
        <v>0</v>
      </c>
      <c r="BL175" s="20">
        <v>0</v>
      </c>
      <c r="BM175" s="14"/>
    </row>
    <row r="176" spans="1:65" x14ac:dyDescent="0.25">
      <c r="A176" s="17" t="str">
        <v>PHF Horse Mixes</v>
      </c>
      <c r="B176" s="17" t="str">
        <v>Dickson</v>
      </c>
      <c r="C176" s="242">
        <f t="shared" si="5"/>
        <v>80.718099999999993</v>
      </c>
      <c r="D176" s="243">
        <f t="shared" si="4"/>
        <v>0.80316517412935318</v>
      </c>
      <c r="E176" s="20">
        <v>4.4226000000000001</v>
      </c>
      <c r="F176" s="20">
        <v>2.5</v>
      </c>
      <c r="G176" s="20">
        <v>0</v>
      </c>
      <c r="H176" s="20">
        <v>0</v>
      </c>
      <c r="I176" s="20">
        <v>0</v>
      </c>
      <c r="J176" s="20">
        <v>0</v>
      </c>
      <c r="K176" s="20">
        <v>0</v>
      </c>
      <c r="L176" s="18">
        <v>0</v>
      </c>
      <c r="M176" s="18">
        <v>0</v>
      </c>
      <c r="N176" s="20">
        <v>0</v>
      </c>
      <c r="O176" s="20">
        <v>0</v>
      </c>
      <c r="P176" s="20">
        <v>0</v>
      </c>
      <c r="Q176" s="20">
        <v>0</v>
      </c>
      <c r="R176" s="20">
        <v>0</v>
      </c>
      <c r="S176" s="20">
        <v>0</v>
      </c>
      <c r="T176" s="20">
        <v>0</v>
      </c>
      <c r="U176" s="20">
        <v>0</v>
      </c>
      <c r="V176" s="20">
        <v>0</v>
      </c>
      <c r="W176" s="20">
        <v>0</v>
      </c>
      <c r="X176" s="20">
        <v>0</v>
      </c>
      <c r="Y176" s="20">
        <v>0</v>
      </c>
      <c r="Z176" s="20">
        <v>0</v>
      </c>
      <c r="AA176" s="20">
        <v>0</v>
      </c>
      <c r="AB176" s="20">
        <v>0</v>
      </c>
      <c r="AC176" s="20">
        <v>0</v>
      </c>
      <c r="AD176" s="20">
        <v>0</v>
      </c>
      <c r="AE176" s="20">
        <v>0</v>
      </c>
      <c r="AF176" s="20">
        <v>3.2669999999999999</v>
      </c>
      <c r="AG176" s="20">
        <v>0</v>
      </c>
      <c r="AH176" s="20">
        <v>0</v>
      </c>
      <c r="AI176" s="20">
        <v>0.32250000000000001</v>
      </c>
      <c r="AJ176" s="20">
        <v>0</v>
      </c>
      <c r="AK176" s="20">
        <v>0</v>
      </c>
      <c r="AL176" s="20">
        <v>0</v>
      </c>
      <c r="AM176" s="20">
        <v>0</v>
      </c>
      <c r="AN176" s="20">
        <v>25.326000000000001</v>
      </c>
      <c r="AO176" s="20">
        <v>12.9</v>
      </c>
      <c r="AP176" s="20">
        <v>16.380000000000003</v>
      </c>
      <c r="AQ176" s="20">
        <v>0</v>
      </c>
      <c r="AR176" s="20">
        <v>0</v>
      </c>
      <c r="AS176" s="20">
        <v>0</v>
      </c>
      <c r="AT176" s="20">
        <v>0</v>
      </c>
      <c r="AU176" s="20">
        <v>15.600000000000001</v>
      </c>
      <c r="AV176" s="20">
        <v>0</v>
      </c>
      <c r="AW176" s="20">
        <v>0</v>
      </c>
      <c r="AX176" s="20">
        <v>0</v>
      </c>
      <c r="AY176" s="20">
        <v>0</v>
      </c>
      <c r="AZ176" s="20">
        <v>0</v>
      </c>
      <c r="BA176" s="20">
        <v>0</v>
      </c>
      <c r="BB176" s="20">
        <v>0</v>
      </c>
      <c r="BC176" s="20">
        <v>0</v>
      </c>
      <c r="BD176" s="20">
        <v>0</v>
      </c>
      <c r="BE176" s="20">
        <v>0</v>
      </c>
      <c r="BF176" s="20">
        <v>0</v>
      </c>
      <c r="BG176" s="20">
        <v>0</v>
      </c>
      <c r="BH176" s="20">
        <v>0</v>
      </c>
      <c r="BI176" s="20">
        <v>0</v>
      </c>
      <c r="BJ176" s="20">
        <v>0</v>
      </c>
      <c r="BK176" s="20">
        <v>0</v>
      </c>
      <c r="BL176" s="20">
        <v>0</v>
      </c>
      <c r="BM176" s="14"/>
    </row>
    <row r="177" spans="1:65" x14ac:dyDescent="0.25">
      <c r="A177" s="17" t="str">
        <v>PHF Horse Mixes</v>
      </c>
      <c r="B177" s="17" t="str">
        <v>Feek Trial w Chaff</v>
      </c>
      <c r="C177" s="242">
        <f t="shared" si="5"/>
        <v>114.34640000000002</v>
      </c>
      <c r="D177" s="243">
        <f t="shared" si="4"/>
        <v>1.1434640000000003</v>
      </c>
      <c r="E177" s="20">
        <v>2.9483999999999999</v>
      </c>
      <c r="F177" s="20">
        <v>3.75</v>
      </c>
      <c r="G177" s="20">
        <v>0</v>
      </c>
      <c r="H177" s="20">
        <v>0</v>
      </c>
      <c r="I177" s="20">
        <v>0</v>
      </c>
      <c r="J177" s="20">
        <v>0</v>
      </c>
      <c r="K177" s="20">
        <v>0</v>
      </c>
      <c r="L177" s="18">
        <v>0</v>
      </c>
      <c r="M177" s="18">
        <v>16.070399999999999</v>
      </c>
      <c r="N177" s="20">
        <v>0</v>
      </c>
      <c r="O177" s="20">
        <v>0</v>
      </c>
      <c r="P177" s="20">
        <v>0</v>
      </c>
      <c r="Q177" s="20">
        <v>0</v>
      </c>
      <c r="R177" s="20">
        <v>0</v>
      </c>
      <c r="S177" s="20">
        <v>0</v>
      </c>
      <c r="T177" s="20">
        <v>0</v>
      </c>
      <c r="U177" s="20">
        <v>0</v>
      </c>
      <c r="V177" s="20">
        <v>0</v>
      </c>
      <c r="W177" s="20">
        <v>0</v>
      </c>
      <c r="X177" s="20">
        <v>0</v>
      </c>
      <c r="Y177" s="20">
        <v>0</v>
      </c>
      <c r="Z177" s="20">
        <v>0</v>
      </c>
      <c r="AA177" s="20">
        <v>0</v>
      </c>
      <c r="AB177" s="20">
        <v>0</v>
      </c>
      <c r="AC177" s="20">
        <v>0</v>
      </c>
      <c r="AD177" s="20">
        <v>0</v>
      </c>
      <c r="AE177" s="20">
        <v>0</v>
      </c>
      <c r="AF177" s="20">
        <v>4.9005000000000001</v>
      </c>
      <c r="AG177" s="20">
        <v>0</v>
      </c>
      <c r="AH177" s="20">
        <v>0</v>
      </c>
      <c r="AI177" s="20">
        <v>0.48375000000000001</v>
      </c>
      <c r="AJ177" s="20">
        <v>0</v>
      </c>
      <c r="AK177" s="20">
        <v>0</v>
      </c>
      <c r="AL177" s="20">
        <v>0</v>
      </c>
      <c r="AM177" s="20">
        <v>0</v>
      </c>
      <c r="AN177" s="20">
        <v>1.8089999999999999</v>
      </c>
      <c r="AO177" s="20">
        <v>8.6</v>
      </c>
      <c r="AP177" s="20">
        <v>8.7360000000000007</v>
      </c>
      <c r="AQ177" s="20">
        <v>8.0625</v>
      </c>
      <c r="AR177" s="20">
        <v>0</v>
      </c>
      <c r="AS177" s="20">
        <v>27.588850000000004</v>
      </c>
      <c r="AT177" s="20">
        <v>0</v>
      </c>
      <c r="AU177" s="20">
        <v>0</v>
      </c>
      <c r="AV177" s="20">
        <v>0</v>
      </c>
      <c r="AW177" s="20">
        <v>0</v>
      </c>
      <c r="AX177" s="20">
        <v>24</v>
      </c>
      <c r="AY177" s="20">
        <v>0</v>
      </c>
      <c r="AZ177" s="20">
        <v>0</v>
      </c>
      <c r="BA177" s="20">
        <v>0</v>
      </c>
      <c r="BB177" s="20">
        <v>0</v>
      </c>
      <c r="BC177" s="20">
        <v>0</v>
      </c>
      <c r="BD177" s="20">
        <v>6.0625</v>
      </c>
      <c r="BE177" s="20">
        <v>0</v>
      </c>
      <c r="BF177" s="20">
        <v>0</v>
      </c>
      <c r="BG177" s="20">
        <v>1.3344999999999998</v>
      </c>
      <c r="BH177" s="20">
        <v>0</v>
      </c>
      <c r="BI177" s="20">
        <v>0</v>
      </c>
      <c r="BJ177" s="20">
        <v>0</v>
      </c>
      <c r="BK177" s="20">
        <v>0</v>
      </c>
      <c r="BL177" s="20">
        <v>0</v>
      </c>
      <c r="BM177" s="14"/>
    </row>
    <row r="178" spans="1:65" x14ac:dyDescent="0.25">
      <c r="A178" s="17" t="str">
        <v>PHF Horse Mixes</v>
      </c>
      <c r="B178" s="17" t="str">
        <v>Feek Trial</v>
      </c>
      <c r="C178" s="242">
        <f t="shared" si="5"/>
        <v>110.89230000000001</v>
      </c>
      <c r="D178" s="243">
        <f t="shared" si="4"/>
        <v>1.1088121187881212</v>
      </c>
      <c r="E178" s="20">
        <v>2.9483999999999999</v>
      </c>
      <c r="F178" s="20">
        <v>3.3250000000000002</v>
      </c>
      <c r="G178" s="20">
        <v>0</v>
      </c>
      <c r="H178" s="20">
        <v>0</v>
      </c>
      <c r="I178" s="20">
        <v>0</v>
      </c>
      <c r="J178" s="20">
        <v>0</v>
      </c>
      <c r="K178" s="20">
        <v>0</v>
      </c>
      <c r="L178" s="18">
        <v>0</v>
      </c>
      <c r="M178" s="18">
        <v>18.316799999999997</v>
      </c>
      <c r="N178" s="20">
        <v>0</v>
      </c>
      <c r="O178" s="20">
        <v>0</v>
      </c>
      <c r="P178" s="20">
        <v>0</v>
      </c>
      <c r="Q178" s="20">
        <v>0</v>
      </c>
      <c r="R178" s="20">
        <v>0</v>
      </c>
      <c r="S178" s="20">
        <v>0</v>
      </c>
      <c r="T178" s="20">
        <v>0</v>
      </c>
      <c r="U178" s="20">
        <v>0</v>
      </c>
      <c r="V178" s="20">
        <v>0</v>
      </c>
      <c r="W178" s="20">
        <v>0</v>
      </c>
      <c r="X178" s="20">
        <v>0</v>
      </c>
      <c r="Y178" s="20">
        <v>0</v>
      </c>
      <c r="Z178" s="20">
        <v>0</v>
      </c>
      <c r="AA178" s="20">
        <v>0</v>
      </c>
      <c r="AB178" s="20">
        <v>0</v>
      </c>
      <c r="AC178" s="20">
        <v>0</v>
      </c>
      <c r="AD178" s="20">
        <v>0</v>
      </c>
      <c r="AE178" s="20">
        <v>0</v>
      </c>
      <c r="AF178" s="20">
        <v>4.9005000000000001</v>
      </c>
      <c r="AG178" s="20">
        <v>0</v>
      </c>
      <c r="AH178" s="20">
        <v>0</v>
      </c>
      <c r="AI178" s="20">
        <v>0.48375000000000001</v>
      </c>
      <c r="AJ178" s="20">
        <v>0</v>
      </c>
      <c r="AK178" s="20">
        <v>0</v>
      </c>
      <c r="AL178" s="20">
        <v>0</v>
      </c>
      <c r="AM178" s="20">
        <v>0</v>
      </c>
      <c r="AN178" s="20">
        <v>2.4119999999999999</v>
      </c>
      <c r="AO178" s="20">
        <v>8.6</v>
      </c>
      <c r="AP178" s="20">
        <v>10.920000000000002</v>
      </c>
      <c r="AQ178" s="20">
        <v>0</v>
      </c>
      <c r="AR178" s="20">
        <v>0</v>
      </c>
      <c r="AS178" s="20">
        <v>27.588850000000004</v>
      </c>
      <c r="AT178" s="20">
        <v>0</v>
      </c>
      <c r="AU178" s="20">
        <v>0</v>
      </c>
      <c r="AV178" s="20">
        <v>0</v>
      </c>
      <c r="AW178" s="20">
        <v>0</v>
      </c>
      <c r="AX178" s="20">
        <v>24</v>
      </c>
      <c r="AY178" s="20">
        <v>0</v>
      </c>
      <c r="AZ178" s="20">
        <v>0</v>
      </c>
      <c r="BA178" s="20">
        <v>0</v>
      </c>
      <c r="BB178" s="20">
        <v>0</v>
      </c>
      <c r="BC178" s="20">
        <v>0</v>
      </c>
      <c r="BD178" s="20">
        <v>6.0625</v>
      </c>
      <c r="BE178" s="20">
        <v>0</v>
      </c>
      <c r="BF178" s="20">
        <v>0</v>
      </c>
      <c r="BG178" s="20">
        <v>1.3344999999999998</v>
      </c>
      <c r="BH178" s="20">
        <v>0</v>
      </c>
      <c r="BI178" s="20">
        <v>0</v>
      </c>
      <c r="BJ178" s="20">
        <v>0</v>
      </c>
      <c r="BK178" s="20">
        <v>0</v>
      </c>
      <c r="BL178" s="20">
        <v>0</v>
      </c>
      <c r="BM178" s="14"/>
    </row>
    <row r="179" spans="1:65" x14ac:dyDescent="0.25">
      <c r="A179" s="17" t="str">
        <v>PHF Horse Mixes</v>
      </c>
      <c r="B179" s="17" t="str">
        <v>Manning</v>
      </c>
      <c r="C179" s="242">
        <f t="shared" si="5"/>
        <v>135.75328100000002</v>
      </c>
      <c r="D179" s="243">
        <f t="shared" si="4"/>
        <v>1.3575328100000001</v>
      </c>
      <c r="E179" s="20">
        <v>4.9090860000000003</v>
      </c>
      <c r="F179" s="20">
        <v>0</v>
      </c>
      <c r="G179" s="20">
        <v>0</v>
      </c>
      <c r="H179" s="20">
        <v>0</v>
      </c>
      <c r="I179" s="20">
        <v>0</v>
      </c>
      <c r="J179" s="20">
        <v>0</v>
      </c>
      <c r="K179" s="20">
        <v>0</v>
      </c>
      <c r="L179" s="18">
        <v>0</v>
      </c>
      <c r="M179" s="18">
        <v>0</v>
      </c>
      <c r="N179" s="20">
        <v>0</v>
      </c>
      <c r="O179" s="20">
        <v>0</v>
      </c>
      <c r="P179" s="20">
        <v>0</v>
      </c>
      <c r="Q179" s="20">
        <v>0</v>
      </c>
      <c r="R179" s="20">
        <v>0</v>
      </c>
      <c r="S179" s="20">
        <v>0</v>
      </c>
      <c r="T179" s="20">
        <v>0</v>
      </c>
      <c r="U179" s="20">
        <v>0</v>
      </c>
      <c r="V179" s="20">
        <v>0</v>
      </c>
      <c r="W179" s="20">
        <v>0</v>
      </c>
      <c r="X179" s="20">
        <v>0</v>
      </c>
      <c r="Y179" s="20">
        <v>0</v>
      </c>
      <c r="Z179" s="20">
        <v>0</v>
      </c>
      <c r="AA179" s="20">
        <v>8.7663224999999976</v>
      </c>
      <c r="AB179" s="20">
        <v>0</v>
      </c>
      <c r="AC179" s="20">
        <v>24.346240000000005</v>
      </c>
      <c r="AD179" s="20">
        <v>0</v>
      </c>
      <c r="AE179" s="20">
        <v>0</v>
      </c>
      <c r="AF179" s="20">
        <v>4.6309724999999995</v>
      </c>
      <c r="AG179" s="20">
        <v>0</v>
      </c>
      <c r="AH179" s="20">
        <v>0</v>
      </c>
      <c r="AI179" s="20">
        <v>0</v>
      </c>
      <c r="AJ179" s="20">
        <v>0</v>
      </c>
      <c r="AK179" s="20">
        <v>0</v>
      </c>
      <c r="AL179" s="20">
        <v>0</v>
      </c>
      <c r="AM179" s="20">
        <v>0</v>
      </c>
      <c r="AN179" s="20">
        <v>2.51451</v>
      </c>
      <c r="AO179" s="20">
        <v>0</v>
      </c>
      <c r="AP179" s="20">
        <v>0</v>
      </c>
      <c r="AQ179" s="20">
        <v>5.375</v>
      </c>
      <c r="AR179" s="20">
        <v>4</v>
      </c>
      <c r="AS179" s="20">
        <v>30.336149999999996</v>
      </c>
      <c r="AT179" s="20">
        <v>0</v>
      </c>
      <c r="AU179" s="20">
        <v>0</v>
      </c>
      <c r="AV179" s="20">
        <v>0</v>
      </c>
      <c r="AW179" s="20">
        <v>0</v>
      </c>
      <c r="AX179" s="20">
        <v>24</v>
      </c>
      <c r="AY179" s="20">
        <v>0</v>
      </c>
      <c r="AZ179" s="20">
        <v>0</v>
      </c>
      <c r="BA179" s="20">
        <v>0</v>
      </c>
      <c r="BB179" s="20">
        <v>0</v>
      </c>
      <c r="BC179" s="20">
        <v>0</v>
      </c>
      <c r="BD179" s="20">
        <v>0</v>
      </c>
      <c r="BE179" s="20">
        <v>0</v>
      </c>
      <c r="BF179" s="20">
        <v>0</v>
      </c>
      <c r="BG179" s="20">
        <v>0</v>
      </c>
      <c r="BH179" s="20">
        <v>26.875</v>
      </c>
      <c r="BI179" s="20">
        <v>0</v>
      </c>
      <c r="BJ179" s="20">
        <v>0</v>
      </c>
      <c r="BK179" s="20">
        <v>0</v>
      </c>
      <c r="BL179" s="20">
        <v>0</v>
      </c>
      <c r="BM179" s="14"/>
    </row>
    <row r="180" spans="1:65" x14ac:dyDescent="0.25">
      <c r="A180" s="17" t="str">
        <v>PHF Horse Mixes</v>
      </c>
      <c r="B180" s="17" t="str">
        <v>Heyfields Race</v>
      </c>
      <c r="C180" s="242">
        <f t="shared" si="5"/>
        <v>89.641750000000002</v>
      </c>
      <c r="D180" s="243">
        <f t="shared" si="4"/>
        <v>0.89641749999999998</v>
      </c>
      <c r="E180" s="20">
        <v>2.9483999999999999</v>
      </c>
      <c r="F180" s="20">
        <v>4.3</v>
      </c>
      <c r="G180" s="20">
        <v>0</v>
      </c>
      <c r="H180" s="20">
        <v>0</v>
      </c>
      <c r="I180" s="20">
        <v>0</v>
      </c>
      <c r="J180" s="20">
        <v>0</v>
      </c>
      <c r="K180" s="20">
        <v>0</v>
      </c>
      <c r="L180" s="18">
        <v>0</v>
      </c>
      <c r="M180" s="18">
        <v>20.448</v>
      </c>
      <c r="N180" s="20">
        <v>0</v>
      </c>
      <c r="O180" s="20">
        <v>0</v>
      </c>
      <c r="P180" s="20">
        <v>0</v>
      </c>
      <c r="Q180" s="20">
        <v>0</v>
      </c>
      <c r="R180" s="20">
        <v>0</v>
      </c>
      <c r="S180" s="20">
        <v>0</v>
      </c>
      <c r="T180" s="20">
        <v>0</v>
      </c>
      <c r="U180" s="20">
        <v>0</v>
      </c>
      <c r="V180" s="20">
        <v>0</v>
      </c>
      <c r="W180" s="20">
        <v>0</v>
      </c>
      <c r="X180" s="20">
        <v>0</v>
      </c>
      <c r="Y180" s="20">
        <v>0</v>
      </c>
      <c r="Z180" s="20">
        <v>0</v>
      </c>
      <c r="AA180" s="20">
        <v>5.738999999999999</v>
      </c>
      <c r="AB180" s="20">
        <v>0</v>
      </c>
      <c r="AC180" s="20">
        <v>0</v>
      </c>
      <c r="AD180" s="20">
        <v>0</v>
      </c>
      <c r="AE180" s="20">
        <v>0</v>
      </c>
      <c r="AF180" s="20">
        <v>4.0837500000000002</v>
      </c>
      <c r="AG180" s="20">
        <v>0</v>
      </c>
      <c r="AH180" s="20">
        <v>0</v>
      </c>
      <c r="AI180" s="20">
        <v>0.43860000000000005</v>
      </c>
      <c r="AJ180" s="20">
        <v>0</v>
      </c>
      <c r="AK180" s="20">
        <v>0</v>
      </c>
      <c r="AL180" s="20">
        <v>0</v>
      </c>
      <c r="AM180" s="20">
        <v>0</v>
      </c>
      <c r="AN180" s="20">
        <v>0</v>
      </c>
      <c r="AO180" s="20">
        <v>10.32</v>
      </c>
      <c r="AP180" s="20">
        <v>7.6440000000000001</v>
      </c>
      <c r="AQ180" s="20">
        <v>0</v>
      </c>
      <c r="AR180" s="20">
        <v>0</v>
      </c>
      <c r="AS180" s="20">
        <v>26.48</v>
      </c>
      <c r="AT180" s="20">
        <v>0</v>
      </c>
      <c r="AU180" s="20">
        <v>0</v>
      </c>
      <c r="AV180" s="20">
        <v>0</v>
      </c>
      <c r="AW180" s="20">
        <v>0</v>
      </c>
      <c r="AX180" s="20">
        <v>0</v>
      </c>
      <c r="AY180" s="20">
        <v>0</v>
      </c>
      <c r="AZ180" s="20">
        <v>0</v>
      </c>
      <c r="BA180" s="20">
        <v>0</v>
      </c>
      <c r="BB180" s="20">
        <v>0</v>
      </c>
      <c r="BC180" s="20">
        <v>0</v>
      </c>
      <c r="BD180" s="20">
        <v>6.0625</v>
      </c>
      <c r="BE180" s="20">
        <v>0</v>
      </c>
      <c r="BF180" s="20">
        <v>0</v>
      </c>
      <c r="BG180" s="20">
        <v>1.1774999999999998</v>
      </c>
      <c r="BH180" s="20">
        <v>0</v>
      </c>
      <c r="BI180" s="20">
        <v>0</v>
      </c>
      <c r="BJ180" s="20">
        <v>0</v>
      </c>
      <c r="BK180" s="20">
        <v>0</v>
      </c>
      <c r="BL180" s="20">
        <v>0</v>
      </c>
      <c r="BM180" s="14"/>
    </row>
    <row r="181" spans="1:65" x14ac:dyDescent="0.25">
      <c r="A181" s="17" t="str">
        <v>PHF Horse Mixes</v>
      </c>
      <c r="B181" s="17" t="str">
        <v>Jack Pre Train</v>
      </c>
      <c r="C181" s="242">
        <f t="shared" si="5"/>
        <v>155.32875733333333</v>
      </c>
      <c r="D181" s="243">
        <f t="shared" si="4"/>
        <v>1.5531322601073225</v>
      </c>
      <c r="E181" s="20">
        <v>6.1474139999999995</v>
      </c>
      <c r="F181" s="20">
        <v>2.5</v>
      </c>
      <c r="G181" s="20">
        <v>0</v>
      </c>
      <c r="H181" s="20">
        <v>0</v>
      </c>
      <c r="I181" s="20">
        <v>0</v>
      </c>
      <c r="J181" s="20">
        <v>0</v>
      </c>
      <c r="K181" s="20">
        <v>0</v>
      </c>
      <c r="L181" s="18">
        <v>0</v>
      </c>
      <c r="M181" s="18">
        <v>0</v>
      </c>
      <c r="N181" s="20">
        <v>0</v>
      </c>
      <c r="O181" s="20">
        <v>0</v>
      </c>
      <c r="P181" s="20">
        <v>0</v>
      </c>
      <c r="Q181" s="20">
        <v>0</v>
      </c>
      <c r="R181" s="20">
        <v>0</v>
      </c>
      <c r="S181" s="20">
        <v>0</v>
      </c>
      <c r="T181" s="20">
        <v>0</v>
      </c>
      <c r="U181" s="20">
        <v>0</v>
      </c>
      <c r="V181" s="20">
        <v>0</v>
      </c>
      <c r="W181" s="20">
        <v>0</v>
      </c>
      <c r="X181" s="20">
        <v>0</v>
      </c>
      <c r="Y181" s="20">
        <v>0</v>
      </c>
      <c r="Z181" s="20">
        <v>0</v>
      </c>
      <c r="AA181" s="20">
        <v>9.5649999999999995</v>
      </c>
      <c r="AB181" s="20">
        <v>0</v>
      </c>
      <c r="AC181" s="20">
        <v>0</v>
      </c>
      <c r="AD181" s="20">
        <v>0</v>
      </c>
      <c r="AE181" s="20">
        <v>0</v>
      </c>
      <c r="AF181" s="20">
        <v>4.9005000000000001</v>
      </c>
      <c r="AG181" s="20">
        <v>0</v>
      </c>
      <c r="AH181" s="20">
        <v>0</v>
      </c>
      <c r="AI181" s="20">
        <v>0</v>
      </c>
      <c r="AJ181" s="20">
        <v>0</v>
      </c>
      <c r="AK181" s="20">
        <v>0</v>
      </c>
      <c r="AL181" s="20">
        <v>0</v>
      </c>
      <c r="AM181" s="20">
        <v>0</v>
      </c>
      <c r="AN181" s="20">
        <v>2.51451</v>
      </c>
      <c r="AO181" s="20">
        <v>0</v>
      </c>
      <c r="AP181" s="20">
        <v>32.760000000000005</v>
      </c>
      <c r="AQ181" s="20">
        <v>0</v>
      </c>
      <c r="AR181" s="20">
        <v>0</v>
      </c>
      <c r="AS181" s="20">
        <v>33.1</v>
      </c>
      <c r="AT181" s="20">
        <v>0</v>
      </c>
      <c r="AU181" s="20">
        <v>0</v>
      </c>
      <c r="AV181" s="20">
        <v>0</v>
      </c>
      <c r="AW181" s="20">
        <v>0</v>
      </c>
      <c r="AX181" s="20">
        <v>28.007999999999999</v>
      </c>
      <c r="AY181" s="20">
        <v>0</v>
      </c>
      <c r="AZ181" s="20">
        <v>0</v>
      </c>
      <c r="BA181" s="20">
        <v>0</v>
      </c>
      <c r="BB181" s="20">
        <v>0</v>
      </c>
      <c r="BC181" s="20">
        <v>0</v>
      </c>
      <c r="BD181" s="20">
        <v>0</v>
      </c>
      <c r="BE181" s="20">
        <v>0</v>
      </c>
      <c r="BF181" s="20">
        <v>0</v>
      </c>
      <c r="BG181" s="20">
        <v>0</v>
      </c>
      <c r="BH181" s="20">
        <v>35.833333333333336</v>
      </c>
      <c r="BI181" s="20">
        <v>0</v>
      </c>
      <c r="BJ181" s="20">
        <v>0</v>
      </c>
      <c r="BK181" s="20">
        <v>0</v>
      </c>
      <c r="BL181" s="20">
        <v>0</v>
      </c>
      <c r="BM181" s="14"/>
    </row>
    <row r="182" spans="1:65" x14ac:dyDescent="0.25">
      <c r="A182" s="17" t="str">
        <v>PHF Horse Mixes</v>
      </c>
      <c r="B182" s="17" t="str">
        <v>McEvoy Pre Train</v>
      </c>
      <c r="C182" s="242">
        <f t="shared" si="5"/>
        <v>91.243181000000007</v>
      </c>
      <c r="D182" s="243">
        <f t="shared" si="4"/>
        <v>0.91243181000000007</v>
      </c>
      <c r="E182" s="20">
        <v>2.771496</v>
      </c>
      <c r="F182" s="20">
        <v>3.75</v>
      </c>
      <c r="G182" s="20">
        <v>0</v>
      </c>
      <c r="H182" s="20">
        <v>0</v>
      </c>
      <c r="I182" s="20">
        <v>0</v>
      </c>
      <c r="J182" s="20">
        <v>0</v>
      </c>
      <c r="K182" s="20">
        <v>0</v>
      </c>
      <c r="L182" s="18">
        <v>0</v>
      </c>
      <c r="M182" s="18">
        <v>10.7424</v>
      </c>
      <c r="N182" s="20">
        <v>0</v>
      </c>
      <c r="O182" s="20">
        <v>0</v>
      </c>
      <c r="P182" s="20">
        <v>0</v>
      </c>
      <c r="Q182" s="20">
        <v>0</v>
      </c>
      <c r="R182" s="20">
        <v>0</v>
      </c>
      <c r="S182" s="20">
        <v>0</v>
      </c>
      <c r="T182" s="20">
        <v>0</v>
      </c>
      <c r="U182" s="20">
        <v>0</v>
      </c>
      <c r="V182" s="20">
        <v>0</v>
      </c>
      <c r="W182" s="20">
        <v>0</v>
      </c>
      <c r="X182" s="20">
        <v>0</v>
      </c>
      <c r="Y182" s="20">
        <v>0</v>
      </c>
      <c r="Z182" s="20">
        <v>0</v>
      </c>
      <c r="AA182" s="20">
        <v>0</v>
      </c>
      <c r="AB182" s="20">
        <v>0</v>
      </c>
      <c r="AC182" s="20">
        <v>6.9760000000000009</v>
      </c>
      <c r="AD182" s="20">
        <v>0</v>
      </c>
      <c r="AE182" s="20">
        <v>0</v>
      </c>
      <c r="AF182" s="20">
        <v>4.5901350000000001</v>
      </c>
      <c r="AG182" s="20">
        <v>0</v>
      </c>
      <c r="AH182" s="20">
        <v>0</v>
      </c>
      <c r="AI182" s="20">
        <v>0.32250000000000001</v>
      </c>
      <c r="AJ182" s="20">
        <v>0</v>
      </c>
      <c r="AK182" s="20">
        <v>0</v>
      </c>
      <c r="AL182" s="20">
        <v>0</v>
      </c>
      <c r="AM182" s="20">
        <v>0</v>
      </c>
      <c r="AN182" s="20">
        <v>13.266</v>
      </c>
      <c r="AO182" s="20">
        <v>0</v>
      </c>
      <c r="AP182" s="20">
        <v>0</v>
      </c>
      <c r="AQ182" s="20">
        <v>6.71875</v>
      </c>
      <c r="AR182" s="20">
        <v>5</v>
      </c>
      <c r="AS182" s="20">
        <v>28.962500000000002</v>
      </c>
      <c r="AT182" s="20">
        <v>7.17</v>
      </c>
      <c r="AU182" s="20">
        <v>0</v>
      </c>
      <c r="AV182" s="20">
        <v>0</v>
      </c>
      <c r="AW182" s="20">
        <v>0</v>
      </c>
      <c r="AX182" s="20">
        <v>0</v>
      </c>
      <c r="AY182" s="20">
        <v>0</v>
      </c>
      <c r="AZ182" s="20">
        <v>0</v>
      </c>
      <c r="BA182" s="20">
        <v>0</v>
      </c>
      <c r="BB182" s="20">
        <v>0</v>
      </c>
      <c r="BC182" s="20">
        <v>0</v>
      </c>
      <c r="BD182" s="20">
        <v>0</v>
      </c>
      <c r="BE182" s="20">
        <v>0</v>
      </c>
      <c r="BF182" s="20">
        <v>0</v>
      </c>
      <c r="BG182" s="20">
        <v>0.97339999999999993</v>
      </c>
      <c r="BH182" s="20">
        <v>0</v>
      </c>
      <c r="BI182" s="20">
        <v>0</v>
      </c>
      <c r="BJ182" s="20">
        <v>0</v>
      </c>
      <c r="BK182" s="20">
        <v>0</v>
      </c>
      <c r="BL182" s="20">
        <v>0</v>
      </c>
      <c r="BM182" s="14"/>
    </row>
    <row r="183" spans="1:65" x14ac:dyDescent="0.25">
      <c r="A183" s="17" t="str">
        <v>PHF Horse Mixes</v>
      </c>
      <c r="B183" s="17" t="str">
        <v>Custom - HorseMix</v>
      </c>
      <c r="C183" s="242">
        <f t="shared" si="5"/>
        <v>135.75328100000002</v>
      </c>
      <c r="D183" s="243">
        <f t="shared" si="4"/>
        <v>1.3575328100000001</v>
      </c>
      <c r="E183" s="20">
        <v>4.9090860000000003</v>
      </c>
      <c r="F183" s="20">
        <v>0</v>
      </c>
      <c r="G183" s="20">
        <v>0</v>
      </c>
      <c r="H183" s="20">
        <v>0</v>
      </c>
      <c r="I183" s="20">
        <v>0</v>
      </c>
      <c r="J183" s="20">
        <v>0</v>
      </c>
      <c r="K183" s="20">
        <v>0</v>
      </c>
      <c r="L183" s="18">
        <v>0</v>
      </c>
      <c r="M183" s="18">
        <v>0</v>
      </c>
      <c r="N183" s="20">
        <v>0</v>
      </c>
      <c r="O183" s="20">
        <v>0</v>
      </c>
      <c r="P183" s="20">
        <v>0</v>
      </c>
      <c r="Q183" s="20">
        <v>0</v>
      </c>
      <c r="R183" s="20">
        <v>0</v>
      </c>
      <c r="S183" s="20">
        <v>0</v>
      </c>
      <c r="T183" s="20">
        <v>0</v>
      </c>
      <c r="U183" s="20">
        <v>0</v>
      </c>
      <c r="V183" s="20">
        <v>0</v>
      </c>
      <c r="W183" s="20">
        <v>0</v>
      </c>
      <c r="X183" s="20">
        <v>0</v>
      </c>
      <c r="Y183" s="20">
        <v>0</v>
      </c>
      <c r="Z183" s="20">
        <v>0</v>
      </c>
      <c r="AA183" s="20">
        <v>8.7663224999999976</v>
      </c>
      <c r="AB183" s="20">
        <v>0</v>
      </c>
      <c r="AC183" s="20">
        <v>24.346240000000005</v>
      </c>
      <c r="AD183" s="20">
        <v>0</v>
      </c>
      <c r="AE183" s="20">
        <v>0</v>
      </c>
      <c r="AF183" s="20">
        <v>4.6309724999999995</v>
      </c>
      <c r="AG183" s="20">
        <v>0</v>
      </c>
      <c r="AH183" s="20">
        <v>0</v>
      </c>
      <c r="AI183" s="20">
        <v>0</v>
      </c>
      <c r="AJ183" s="20">
        <v>0</v>
      </c>
      <c r="AK183" s="20">
        <v>0</v>
      </c>
      <c r="AL183" s="20">
        <v>0</v>
      </c>
      <c r="AM183" s="20">
        <v>0</v>
      </c>
      <c r="AN183" s="20">
        <v>2.51451</v>
      </c>
      <c r="AO183" s="20">
        <v>0</v>
      </c>
      <c r="AP183" s="20">
        <v>0</v>
      </c>
      <c r="AQ183" s="20">
        <v>5.375</v>
      </c>
      <c r="AR183" s="20">
        <v>4</v>
      </c>
      <c r="AS183" s="20">
        <v>30.336149999999996</v>
      </c>
      <c r="AT183" s="20">
        <v>0</v>
      </c>
      <c r="AU183" s="20">
        <v>0</v>
      </c>
      <c r="AV183" s="20">
        <v>0</v>
      </c>
      <c r="AW183" s="20">
        <v>0</v>
      </c>
      <c r="AX183" s="20">
        <v>24</v>
      </c>
      <c r="AY183" s="20">
        <v>0</v>
      </c>
      <c r="AZ183" s="20">
        <v>0</v>
      </c>
      <c r="BA183" s="20">
        <v>0</v>
      </c>
      <c r="BB183" s="20">
        <v>0</v>
      </c>
      <c r="BC183" s="20">
        <v>0</v>
      </c>
      <c r="BD183" s="20">
        <v>0</v>
      </c>
      <c r="BE183" s="20">
        <v>0</v>
      </c>
      <c r="BF183" s="20">
        <v>0</v>
      </c>
      <c r="BG183" s="20">
        <v>0</v>
      </c>
      <c r="BH183" s="20">
        <v>26.875</v>
      </c>
      <c r="BI183" s="20">
        <v>0</v>
      </c>
      <c r="BJ183" s="20">
        <v>0</v>
      </c>
      <c r="BK183" s="20">
        <v>0</v>
      </c>
      <c r="BL183" s="20">
        <v>0</v>
      </c>
      <c r="BM183" s="14"/>
    </row>
    <row r="184" spans="1:65" x14ac:dyDescent="0.25">
      <c r="C184" s="11"/>
      <c r="D184" s="11"/>
      <c r="BL184" s="6"/>
      <c r="BM184" s="14"/>
    </row>
    <row r="185" spans="1:65" x14ac:dyDescent="0.25">
      <c r="C185" s="11"/>
      <c r="D185" s="11"/>
      <c r="BL185" s="6"/>
      <c r="BM185" s="14"/>
    </row>
    <row r="186" spans="1:65" x14ac:dyDescent="0.25">
      <c r="C186" s="11"/>
      <c r="D186" s="11"/>
      <c r="BL186" s="6"/>
      <c r="BM186" s="14"/>
    </row>
    <row r="187" spans="1:65" x14ac:dyDescent="0.25">
      <c r="C187" s="11"/>
      <c r="D187" s="11"/>
      <c r="BL187" s="6"/>
      <c r="BM187" s="14"/>
    </row>
    <row r="188" spans="1:65" x14ac:dyDescent="0.25">
      <c r="C188" s="11"/>
      <c r="D188" s="11"/>
      <c r="BL188" s="6"/>
      <c r="BM188" s="14"/>
    </row>
    <row r="189" spans="1:65" x14ac:dyDescent="0.25">
      <c r="C189" s="11"/>
      <c r="D189" s="11"/>
      <c r="BL189" s="6"/>
      <c r="BM189" s="14"/>
    </row>
    <row r="190" spans="1:65" x14ac:dyDescent="0.25">
      <c r="C190" s="11"/>
      <c r="D190" s="11"/>
      <c r="BL190" s="6"/>
      <c r="BM190" s="14"/>
    </row>
    <row r="191" spans="1:65" x14ac:dyDescent="0.25">
      <c r="C191" s="11"/>
      <c r="D191" s="11"/>
      <c r="BL191" s="6"/>
      <c r="BM191" s="14"/>
    </row>
    <row r="192" spans="1:65" x14ac:dyDescent="0.25">
      <c r="C192" s="11"/>
      <c r="D192" s="11"/>
      <c r="BL192" s="6"/>
      <c r="BM192" s="14"/>
    </row>
    <row r="193" spans="1:65" x14ac:dyDescent="0.25">
      <c r="C193" s="11"/>
      <c r="D193" s="11"/>
      <c r="BL193" s="6"/>
      <c r="BM193" s="14"/>
    </row>
    <row r="194" spans="1:65" x14ac:dyDescent="0.25">
      <c r="C194" s="11"/>
      <c r="D194" s="11"/>
      <c r="BL194" s="6"/>
      <c r="BM194" s="14"/>
    </row>
    <row r="195" spans="1:65" x14ac:dyDescent="0.25">
      <c r="C195" s="11"/>
      <c r="D195" s="11"/>
      <c r="BL195" s="6"/>
      <c r="BM195" s="14"/>
    </row>
    <row r="196" spans="1:65" x14ac:dyDescent="0.25">
      <c r="C196" s="11"/>
      <c r="D196" s="11"/>
      <c r="BL196" s="6"/>
      <c r="BM196" s="14"/>
    </row>
    <row r="197" spans="1:65" x14ac:dyDescent="0.25">
      <c r="C197" s="11"/>
      <c r="D197" s="11"/>
      <c r="BL197" s="6"/>
      <c r="BM197" s="14"/>
    </row>
    <row r="198" spans="1:65" x14ac:dyDescent="0.25">
      <c r="A198" s="244" t="s">
        <v>622</v>
      </c>
      <c r="C198" s="11"/>
      <c r="D198" s="11"/>
      <c r="BL198" s="6"/>
      <c r="BM198" s="14"/>
    </row>
    <row r="199" spans="1:65" x14ac:dyDescent="0.25">
      <c r="C199" s="11"/>
      <c r="D199" s="11"/>
      <c r="BL199" s="6"/>
      <c r="BM199" s="14"/>
    </row>
    <row r="200" spans="1:65" ht="72.599999999999994" x14ac:dyDescent="0.25">
      <c r="B200" s="15" t="str">
        <f>StraightGrain[[#Headers],[Raw Materials]]</f>
        <v>Raw Materials</v>
      </c>
      <c r="C200" s="11"/>
      <c r="D200" s="16" t="s">
        <v>621</v>
      </c>
      <c r="BL200" s="6"/>
      <c r="BM200" s="14"/>
    </row>
    <row r="201" spans="1:65" x14ac:dyDescent="0.25">
      <c r="B201" s="17" t="str" cm="1">
        <f t="array" ref="B201:B265">StraightGrain[[#Data],[Raw Materials]]</f>
        <v>Acid Buf</v>
      </c>
      <c r="C201" s="11"/>
      <c r="D201" s="19" cm="1">
        <f t="array" ref="D201:D265">StraightGrain[[#Data],[Cost per Kg]]</f>
        <v>1.5699999999999998</v>
      </c>
      <c r="BL201" s="6"/>
      <c r="BM201" s="14"/>
    </row>
    <row r="202" spans="1:65" x14ac:dyDescent="0.25">
      <c r="B202" s="245" t="str">
        <v>All Phase</v>
      </c>
      <c r="C202" s="11"/>
      <c r="D202" s="246">
        <v>1.655</v>
      </c>
      <c r="BL202" s="6"/>
      <c r="BM202" s="14"/>
    </row>
    <row r="203" spans="1:65" x14ac:dyDescent="0.25">
      <c r="B203" s="245" t="str">
        <v>Apple Flavouring</v>
      </c>
      <c r="C203" s="11"/>
      <c r="D203" s="246">
        <v>0</v>
      </c>
      <c r="BL203" s="6"/>
      <c r="BM203" s="14"/>
    </row>
    <row r="204" spans="1:65" x14ac:dyDescent="0.25">
      <c r="B204" s="245" t="str">
        <v>Barley</v>
      </c>
      <c r="C204" s="11"/>
      <c r="D204" s="246">
        <v>0.35385</v>
      </c>
      <c r="BL204" s="6"/>
      <c r="BM204" s="14"/>
    </row>
    <row r="205" spans="1:65" x14ac:dyDescent="0.25">
      <c r="B205" s="245" t="str">
        <v>Bedding Straw</v>
      </c>
      <c r="C205" s="11"/>
      <c r="D205" s="246">
        <v>0.14000000000000001</v>
      </c>
      <c r="BL205" s="6"/>
      <c r="BM205" s="14"/>
    </row>
    <row r="206" spans="1:65" x14ac:dyDescent="0.25">
      <c r="B206" s="245" t="str">
        <v>Black Sunflowers</v>
      </c>
      <c r="C206" s="11"/>
      <c r="D206" s="246">
        <v>1.4742</v>
      </c>
      <c r="BL206" s="6"/>
      <c r="BM206" s="14"/>
    </row>
    <row r="207" spans="1:65" x14ac:dyDescent="0.25">
      <c r="B207" s="245" t="str">
        <v>Bran</v>
      </c>
      <c r="C207" s="11"/>
      <c r="D207" s="246">
        <v>0.97499999999999998</v>
      </c>
      <c r="BL207" s="6"/>
      <c r="BM207" s="14"/>
    </row>
    <row r="208" spans="1:65" x14ac:dyDescent="0.25">
      <c r="B208" s="245" t="str">
        <v>Breed n Grow BMC</v>
      </c>
      <c r="C208" s="11"/>
      <c r="D208" s="246">
        <v>0.95599999999999996</v>
      </c>
      <c r="BL208" s="6"/>
      <c r="BM208" s="14"/>
    </row>
    <row r="209" spans="2:65" x14ac:dyDescent="0.25">
      <c r="B209" s="245" t="str">
        <v>Brown Rice</v>
      </c>
      <c r="C209" s="11"/>
      <c r="D209" s="246">
        <v>1.9698</v>
      </c>
      <c r="BL209" s="6"/>
      <c r="BM209" s="14"/>
    </row>
    <row r="210" spans="2:65" x14ac:dyDescent="0.25">
      <c r="B210" s="245" t="str">
        <v>Calm Performer</v>
      </c>
      <c r="C210" s="11"/>
      <c r="D210" s="246">
        <v>0.78</v>
      </c>
      <c r="BL210" s="6"/>
      <c r="BM210" s="14"/>
    </row>
    <row r="211" spans="2:65" x14ac:dyDescent="0.25">
      <c r="B211" s="245" t="str">
        <v>Canola</v>
      </c>
      <c r="C211" s="11"/>
      <c r="D211" s="246">
        <v>0.66300000000000003</v>
      </c>
      <c r="BL211" s="6"/>
      <c r="BM211" s="14"/>
    </row>
    <row r="212" spans="2:65" x14ac:dyDescent="0.25">
      <c r="B212" s="245" t="str">
        <v>Canola Meal</v>
      </c>
      <c r="C212" s="11"/>
      <c r="D212" s="246">
        <v>1.06</v>
      </c>
      <c r="BL212" s="6"/>
      <c r="BM212" s="14"/>
    </row>
    <row r="213" spans="2:65" x14ac:dyDescent="0.25">
      <c r="B213" s="245" t="str">
        <v>Canola Oil</v>
      </c>
      <c r="C213" s="11"/>
      <c r="D213" s="246">
        <v>2.5</v>
      </c>
      <c r="BL213" s="6"/>
      <c r="BM213" s="14"/>
    </row>
    <row r="214" spans="2:65" x14ac:dyDescent="0.25">
      <c r="B214" s="245" t="str">
        <v>Dicalicium Phosphate</v>
      </c>
      <c r="C214" s="11"/>
      <c r="D214" s="246">
        <v>2.2999999999999998</v>
      </c>
      <c r="BL214" s="6"/>
      <c r="BM214" s="14"/>
    </row>
    <row r="215" spans="2:65" x14ac:dyDescent="0.25">
      <c r="B215" s="245" t="str">
        <v>EO3 Oil</v>
      </c>
      <c r="C215" s="11"/>
      <c r="D215" s="246">
        <v>25.666666666666668</v>
      </c>
      <c r="BL215" s="6"/>
      <c r="BM215" s="14"/>
    </row>
    <row r="216" spans="2:65" x14ac:dyDescent="0.25">
      <c r="B216" s="245" t="str">
        <v>Equijewel</v>
      </c>
      <c r="C216" s="11"/>
      <c r="D216" s="246">
        <v>2.4</v>
      </c>
      <c r="BL216" s="6"/>
      <c r="BM216" s="14"/>
    </row>
    <row r="217" spans="2:65" x14ac:dyDescent="0.25">
      <c r="B217" s="245" t="str">
        <v>Fibre Phase</v>
      </c>
      <c r="C217" s="11"/>
      <c r="D217" s="246">
        <v>1.825</v>
      </c>
      <c r="BL217" s="6"/>
      <c r="BM217" s="14"/>
    </row>
    <row r="218" spans="2:65" x14ac:dyDescent="0.25">
      <c r="B218" s="245" t="str">
        <v>Grey Sunflowers</v>
      </c>
      <c r="C218" s="11"/>
      <c r="D218" s="246">
        <v>1.5435000000000001</v>
      </c>
      <c r="BL218" s="6"/>
      <c r="BM218" s="14"/>
    </row>
    <row r="219" spans="2:65" x14ac:dyDescent="0.25">
      <c r="B219" s="245" t="str">
        <v>Hard Wheat</v>
      </c>
      <c r="C219" s="11"/>
      <c r="D219" s="246">
        <v>0.45150000000000001</v>
      </c>
      <c r="BL219" s="6"/>
      <c r="BM219" s="14"/>
    </row>
    <row r="220" spans="2:65" x14ac:dyDescent="0.25">
      <c r="B220" s="245" t="str">
        <v>Hulled Oats</v>
      </c>
      <c r="C220" s="11"/>
      <c r="D220" s="246">
        <v>0.90449999999999997</v>
      </c>
      <c r="BL220" s="6"/>
      <c r="BM220" s="14"/>
    </row>
    <row r="221" spans="2:65" x14ac:dyDescent="0.25">
      <c r="B221" s="245" t="str">
        <v>KER Gold</v>
      </c>
      <c r="C221" s="11"/>
      <c r="D221" s="246">
        <v>7.31</v>
      </c>
      <c r="BL221" s="6"/>
      <c r="BM221" s="14"/>
    </row>
    <row r="222" spans="2:65" x14ac:dyDescent="0.25">
      <c r="B222" s="245" t="str">
        <v>Last bag of pigeon mix</v>
      </c>
      <c r="C222" s="11"/>
      <c r="D222" s="246">
        <v>0.15</v>
      </c>
      <c r="BL222" s="6"/>
      <c r="BM222" s="14"/>
    </row>
    <row r="223" spans="2:65" x14ac:dyDescent="0.25">
      <c r="B223" s="245" t="str">
        <v>Layer Protein Pellets</v>
      </c>
      <c r="C223" s="11"/>
      <c r="D223" s="246">
        <v>0.75</v>
      </c>
      <c r="BL223" s="6"/>
      <c r="BM223" s="14"/>
    </row>
    <row r="224" spans="2:65" x14ac:dyDescent="0.25">
      <c r="B224" s="245" t="str">
        <v>Limestone</v>
      </c>
      <c r="C224" s="11"/>
      <c r="D224" s="246">
        <v>0.44000000000000006</v>
      </c>
      <c r="BL224" s="6"/>
      <c r="BM224" s="14"/>
    </row>
    <row r="225" spans="2:65" x14ac:dyDescent="0.25">
      <c r="B225" s="245" t="str">
        <v>Linseed</v>
      </c>
      <c r="C225" s="11"/>
      <c r="D225" s="246">
        <v>2.0499999999999998</v>
      </c>
      <c r="BL225" s="6"/>
      <c r="BM225" s="14"/>
    </row>
    <row r="226" spans="2:65" x14ac:dyDescent="0.25">
      <c r="B226" s="245" t="str">
        <v>Lucerne Chaff</v>
      </c>
      <c r="C226" s="11"/>
      <c r="D226" s="246">
        <v>1.075</v>
      </c>
      <c r="BL226" s="6"/>
      <c r="BM226" s="14"/>
    </row>
    <row r="227" spans="2:65" x14ac:dyDescent="0.25">
      <c r="B227" s="245" t="str">
        <v>Lucerne Hay</v>
      </c>
      <c r="C227" s="11"/>
      <c r="D227" s="246">
        <v>19</v>
      </c>
      <c r="BL227" s="6"/>
      <c r="BM227" s="14"/>
    </row>
    <row r="228" spans="2:65" x14ac:dyDescent="0.25">
      <c r="B228" s="245" t="str">
        <v>Lucerne Pellet</v>
      </c>
      <c r="C228" s="11"/>
      <c r="D228" s="246">
        <v>1.25</v>
      </c>
      <c r="BL228" s="6"/>
      <c r="BM228" s="14"/>
    </row>
    <row r="229" spans="2:65" x14ac:dyDescent="0.25">
      <c r="B229" s="245" t="str">
        <v>Lupins</v>
      </c>
      <c r="C229" s="11"/>
      <c r="D229" s="246">
        <v>0.77700000000000002</v>
      </c>
      <c r="BL229" s="6"/>
      <c r="BM229" s="14"/>
    </row>
    <row r="230" spans="2:65" x14ac:dyDescent="0.25">
      <c r="B230" s="245" t="str">
        <v>Maize</v>
      </c>
      <c r="D230" s="61">
        <v>0.38324999999999998</v>
      </c>
    </row>
    <row r="231" spans="2:65" x14ac:dyDescent="0.25">
      <c r="B231" s="245" t="str">
        <v>Medium Shell Grit</v>
      </c>
      <c r="D231" s="61">
        <v>0.88</v>
      </c>
    </row>
    <row r="232" spans="2:65" x14ac:dyDescent="0.25">
      <c r="B232" s="245" t="str">
        <v>Molafos</v>
      </c>
      <c r="D232" s="61">
        <v>0.81674999999999998</v>
      </c>
    </row>
    <row r="233" spans="2:65" x14ac:dyDescent="0.25">
      <c r="B233" s="245" t="str">
        <v>Mould Inhibitor</v>
      </c>
      <c r="D233" s="61">
        <v>10.199999999999999</v>
      </c>
    </row>
    <row r="234" spans="2:65" x14ac:dyDescent="0.25">
      <c r="B234" s="245" t="str">
        <v>Mung Beans</v>
      </c>
      <c r="D234" s="61">
        <v>1.582875</v>
      </c>
    </row>
    <row r="235" spans="2:65" x14ac:dyDescent="0.25">
      <c r="B235" s="245" t="str">
        <v>Oaten Chaff</v>
      </c>
      <c r="D235" s="61">
        <v>0.8</v>
      </c>
    </row>
    <row r="236" spans="2:65" x14ac:dyDescent="0.25">
      <c r="B236" s="245" t="str">
        <v>Oaten Hay</v>
      </c>
      <c r="D236" s="61">
        <v>15.15</v>
      </c>
    </row>
    <row r="237" spans="2:65" x14ac:dyDescent="0.25">
      <c r="B237" s="245" t="str">
        <v>Cleaned Oats</v>
      </c>
      <c r="D237" s="61">
        <v>0.504</v>
      </c>
    </row>
    <row r="238" spans="2:65" x14ac:dyDescent="0.25">
      <c r="B238" s="245" t="str">
        <v>Uncleaned Oats</v>
      </c>
      <c r="D238" s="61">
        <v>0.48</v>
      </c>
    </row>
    <row r="239" spans="2:65" x14ac:dyDescent="0.25">
      <c r="B239" s="245" t="str">
        <v>Pano</v>
      </c>
      <c r="D239" s="61">
        <v>1.1339999999999999</v>
      </c>
    </row>
    <row r="240" spans="2:65" x14ac:dyDescent="0.25">
      <c r="B240" s="245" t="str">
        <v>Pea Straw</v>
      </c>
      <c r="D240" s="61">
        <v>9</v>
      </c>
    </row>
    <row r="241" spans="2:4" x14ac:dyDescent="0.25">
      <c r="B241" s="245" t="str">
        <v>Peas</v>
      </c>
      <c r="D241" s="61">
        <v>0.69847500000000007</v>
      </c>
    </row>
    <row r="242" spans="2:4" x14ac:dyDescent="0.25">
      <c r="B242" s="245" t="str">
        <v>Pigeon Grit Digestive Aid</v>
      </c>
      <c r="D242" s="61">
        <v>0.9</v>
      </c>
    </row>
    <row r="243" spans="2:4" x14ac:dyDescent="0.25">
      <c r="B243" s="245" t="str">
        <v>Plain Canary</v>
      </c>
      <c r="D243" s="61">
        <v>1.659</v>
      </c>
    </row>
    <row r="244" spans="2:4" x14ac:dyDescent="0.25">
      <c r="B244" s="245" t="str">
        <v>Pollard</v>
      </c>
      <c r="D244" s="61">
        <v>0.92500000000000004</v>
      </c>
    </row>
    <row r="245" spans="2:4" x14ac:dyDescent="0.25">
      <c r="B245" s="245" t="str">
        <v>Popcorn</v>
      </c>
      <c r="D245" s="61">
        <v>0.88200000000000001</v>
      </c>
    </row>
    <row r="246" spans="2:4" x14ac:dyDescent="0.25">
      <c r="B246" s="245" t="str">
        <v>Premuim Layer Premix</v>
      </c>
      <c r="D246" s="61">
        <v>475</v>
      </c>
    </row>
    <row r="247" spans="2:4" x14ac:dyDescent="0.25">
      <c r="B247" s="245" t="str">
        <v>Preserve</v>
      </c>
      <c r="D247" s="61">
        <v>24.25</v>
      </c>
    </row>
    <row r="248" spans="2:4" x14ac:dyDescent="0.25">
      <c r="B248" s="245" t="str">
        <v>Rabbit Pellets</v>
      </c>
      <c r="D248" s="61">
        <v>1.1975</v>
      </c>
    </row>
    <row r="249" spans="2:4" x14ac:dyDescent="0.25">
      <c r="B249" s="245" t="str">
        <v>Restore</v>
      </c>
      <c r="D249" s="61">
        <v>6</v>
      </c>
    </row>
    <row r="250" spans="2:4" x14ac:dyDescent="0.25">
      <c r="B250" s="245" t="str">
        <v>Rice Hulls</v>
      </c>
      <c r="D250" s="61">
        <v>51</v>
      </c>
    </row>
    <row r="251" spans="2:4" x14ac:dyDescent="0.25">
      <c r="B251" s="245" t="str">
        <v>Safflower</v>
      </c>
      <c r="D251" s="61">
        <v>1.1655</v>
      </c>
    </row>
    <row r="252" spans="2:4" x14ac:dyDescent="0.25">
      <c r="B252" s="245" t="str">
        <v>Salt</v>
      </c>
      <c r="D252" s="61">
        <v>0.64500000000000002</v>
      </c>
    </row>
    <row r="253" spans="2:4" x14ac:dyDescent="0.25">
      <c r="B253" s="245" t="str">
        <v>Sorghum</v>
      </c>
      <c r="D253" s="61">
        <v>0.47775000000000001</v>
      </c>
    </row>
    <row r="254" spans="2:4" x14ac:dyDescent="0.25">
      <c r="B254" s="245" t="str">
        <v>Steamed &amp; Rolled Barley</v>
      </c>
      <c r="D254" s="61">
        <v>0.60299999999999998</v>
      </c>
    </row>
    <row r="255" spans="2:4" x14ac:dyDescent="0.25">
      <c r="B255" s="245" t="str">
        <v>Steamed &amp; Rolled Lupins</v>
      </c>
      <c r="D255" s="61">
        <v>1.0920000000000001</v>
      </c>
    </row>
    <row r="256" spans="2:4" x14ac:dyDescent="0.25">
      <c r="B256" s="245" t="str">
        <v>Steamed &amp; Rolled Maize</v>
      </c>
      <c r="D256" s="61">
        <v>0.86</v>
      </c>
    </row>
    <row r="257" spans="2:5" x14ac:dyDescent="0.25">
      <c r="B257" s="245" t="str">
        <v>Steamed &amp; Rolled Oats</v>
      </c>
      <c r="D257" s="61">
        <v>0.86299999999999999</v>
      </c>
    </row>
    <row r="258" spans="2:5" x14ac:dyDescent="0.25">
      <c r="B258" s="245" t="str">
        <v>Stud Balancer</v>
      </c>
      <c r="D258" s="61">
        <v>1.1890000000000001</v>
      </c>
    </row>
    <row r="259" spans="2:5" x14ac:dyDescent="0.25">
      <c r="B259" s="245" t="str">
        <v>Synergy</v>
      </c>
      <c r="D259" s="61">
        <v>1.645</v>
      </c>
    </row>
    <row r="260" spans="2:5" x14ac:dyDescent="0.25">
      <c r="B260" s="245" t="str">
        <v>Teff Hay</v>
      </c>
      <c r="D260" s="61">
        <v>19</v>
      </c>
    </row>
    <row r="261" spans="2:5" x14ac:dyDescent="0.25">
      <c r="B261" s="245" t="str">
        <v>Triaction</v>
      </c>
      <c r="D261" s="61">
        <v>11.944444444444445</v>
      </c>
    </row>
    <row r="262" spans="2:5" x14ac:dyDescent="0.25">
      <c r="B262" s="245" t="str">
        <v>Vetch</v>
      </c>
      <c r="D262" s="61">
        <v>0.59160000000000001</v>
      </c>
    </row>
    <row r="263" spans="2:5" x14ac:dyDescent="0.25">
      <c r="B263" s="245" t="str">
        <v>Wheat</v>
      </c>
      <c r="D263" s="61">
        <v>0.37275000000000003</v>
      </c>
    </row>
    <row r="264" spans="2:5" x14ac:dyDescent="0.25">
      <c r="B264" s="245" t="str">
        <v>White French Millet</v>
      </c>
      <c r="D264" s="61">
        <v>1.05</v>
      </c>
    </row>
    <row r="265" spans="2:5" x14ac:dyDescent="0.25">
      <c r="B265" s="245" t="str">
        <v>Yarran Oats</v>
      </c>
      <c r="D265" s="61">
        <v>0.43680000000000002</v>
      </c>
    </row>
    <row r="268" spans="2:5" ht="14.4" x14ac:dyDescent="0.3">
      <c r="E268" s="248"/>
    </row>
    <row r="287" spans="1:63" x14ac:dyDescent="0.25">
      <c r="A287" s="35" t="s">
        <v>42</v>
      </c>
      <c r="B287" s="51" t="s">
        <v>623</v>
      </c>
      <c r="C287" s="13"/>
      <c r="D287" s="13"/>
      <c r="E287" s="13"/>
      <c r="F287" s="13"/>
      <c r="G287" s="13">
        <v>40</v>
      </c>
      <c r="H287" s="13"/>
      <c r="I287" s="13"/>
      <c r="J287" s="13"/>
      <c r="K287" s="13"/>
      <c r="L287" s="13"/>
      <c r="M287" s="13">
        <v>250</v>
      </c>
      <c r="N287" s="13"/>
      <c r="O287" s="13">
        <v>150</v>
      </c>
      <c r="P287" s="13">
        <v>100</v>
      </c>
      <c r="Q287" s="13">
        <v>125</v>
      </c>
      <c r="R287" s="13">
        <v>10</v>
      </c>
      <c r="S287" s="13"/>
      <c r="T287" s="13"/>
      <c r="U287" s="13"/>
      <c r="V287" s="13">
        <v>50</v>
      </c>
      <c r="W287" s="13">
        <v>80</v>
      </c>
      <c r="X287" s="13"/>
      <c r="Y287" s="13"/>
      <c r="Z287" s="13"/>
      <c r="AA287" s="13"/>
      <c r="AB287" s="13"/>
      <c r="AC287" s="13"/>
      <c r="AD287" s="13"/>
      <c r="AE287" s="13"/>
      <c r="AF287" s="13"/>
      <c r="AG287" s="13"/>
      <c r="AH287" s="13"/>
      <c r="AI287" s="13"/>
      <c r="AJ287" s="13"/>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36">
        <f>SUM(C287:BI287)</f>
        <v>805</v>
      </c>
    </row>
    <row r="293" spans="1:63" x14ac:dyDescent="0.25">
      <c r="A293" s="1" t="s">
        <v>624</v>
      </c>
    </row>
    <row r="294" spans="1:63" x14ac:dyDescent="0.25">
      <c r="A294" s="35" t="s">
        <v>439</v>
      </c>
      <c r="B294" s="55" t="s">
        <v>506</v>
      </c>
      <c r="C294" s="58">
        <v>101</v>
      </c>
      <c r="D294" s="45"/>
      <c r="E294" s="45">
        <v>1</v>
      </c>
      <c r="F294" s="45"/>
      <c r="G294" s="45"/>
      <c r="H294" s="45"/>
      <c r="I294" s="45"/>
      <c r="J294" s="45"/>
      <c r="K294" s="45"/>
      <c r="L294" s="45">
        <v>42</v>
      </c>
      <c r="M294" s="45"/>
      <c r="N294" s="45"/>
      <c r="O294" s="45"/>
      <c r="P294" s="45"/>
      <c r="Q294" s="45"/>
      <c r="R294" s="45"/>
      <c r="S294" s="45"/>
      <c r="T294" s="45"/>
      <c r="U294" s="45"/>
      <c r="V294" s="45"/>
      <c r="W294" s="45"/>
      <c r="X294" s="45"/>
      <c r="Y294" s="45"/>
      <c r="Z294" s="45"/>
      <c r="AA294" s="45"/>
      <c r="AB294" s="45"/>
      <c r="AC294" s="45"/>
      <c r="AD294" s="45"/>
      <c r="AE294" s="45">
        <v>4.5</v>
      </c>
      <c r="AF294" s="45"/>
      <c r="AG294" s="45"/>
      <c r="AH294" s="45">
        <v>0.5</v>
      </c>
      <c r="AI294" s="45"/>
      <c r="AJ294" s="45"/>
      <c r="AK294" s="45"/>
      <c r="AL294" s="45"/>
      <c r="AM294" s="57"/>
      <c r="AN294" s="57">
        <v>8.5</v>
      </c>
      <c r="AO294" s="57">
        <v>8.5</v>
      </c>
      <c r="AP294" s="57">
        <v>10.5</v>
      </c>
      <c r="AQ294" s="57"/>
      <c r="AR294" s="57"/>
      <c r="AS294" s="57">
        <v>8.5</v>
      </c>
      <c r="AT294" s="57"/>
      <c r="AU294" s="57"/>
      <c r="AV294" s="57">
        <v>17</v>
      </c>
      <c r="AW294" s="13"/>
      <c r="AX294" s="13"/>
      <c r="AY294" s="13"/>
      <c r="AZ294" s="13"/>
      <c r="BA294" s="13"/>
      <c r="BB294" s="13"/>
      <c r="BC294" s="13"/>
      <c r="BD294" s="13"/>
      <c r="BE294" s="13"/>
      <c r="BF294" s="13"/>
      <c r="BG294" s="39"/>
      <c r="BH294" s="39"/>
      <c r="BI294" s="39"/>
      <c r="BJ294" s="281"/>
      <c r="BK294" s="57"/>
    </row>
    <row r="295" spans="1:63" x14ac:dyDescent="0.25">
      <c r="A295" s="35" t="s">
        <v>439</v>
      </c>
      <c r="B295" s="55" t="s">
        <v>507</v>
      </c>
      <c r="C295" s="58">
        <v>100.15</v>
      </c>
      <c r="D295" s="45">
        <v>6</v>
      </c>
      <c r="E295" s="45">
        <v>0.5</v>
      </c>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c r="AD295" s="45"/>
      <c r="AE295" s="45">
        <v>6</v>
      </c>
      <c r="AF295" s="45"/>
      <c r="AG295" s="45"/>
      <c r="AH295" s="45"/>
      <c r="AI295" s="45"/>
      <c r="AJ295" s="45"/>
      <c r="AK295" s="45"/>
      <c r="AL295" s="45"/>
      <c r="AM295" s="57"/>
      <c r="AN295" s="57">
        <v>4</v>
      </c>
      <c r="AO295" s="57">
        <v>15</v>
      </c>
      <c r="AP295" s="57">
        <v>20</v>
      </c>
      <c r="AQ295" s="57"/>
      <c r="AR295" s="57">
        <v>17.5</v>
      </c>
      <c r="AS295" s="57">
        <v>30</v>
      </c>
      <c r="AT295" s="57"/>
      <c r="AU295" s="57"/>
      <c r="AV295" s="57"/>
      <c r="AW295" s="13"/>
      <c r="AX295" s="13"/>
      <c r="AY295" s="13"/>
      <c r="AZ295" s="13"/>
      <c r="BA295" s="13"/>
      <c r="BB295" s="13"/>
      <c r="BC295" s="13"/>
      <c r="BD295" s="13"/>
      <c r="BE295" s="13"/>
      <c r="BF295" s="13">
        <v>1.1499999999999999</v>
      </c>
      <c r="BG295" s="39"/>
      <c r="BH295" s="39"/>
      <c r="BI295" s="39"/>
      <c r="BJ295" s="281"/>
      <c r="BK295" s="57"/>
    </row>
    <row r="296" spans="1:63" x14ac:dyDescent="0.25">
      <c r="A296" s="35" t="s">
        <v>439</v>
      </c>
      <c r="B296" s="55" t="s">
        <v>522</v>
      </c>
      <c r="C296" s="58">
        <v>99.990000000000009</v>
      </c>
      <c r="D296" s="45">
        <v>1.88</v>
      </c>
      <c r="E296" s="45">
        <v>1.25</v>
      </c>
      <c r="F296" s="45"/>
      <c r="G296" s="45"/>
      <c r="H296" s="45"/>
      <c r="I296" s="45"/>
      <c r="J296" s="45"/>
      <c r="K296" s="45"/>
      <c r="L296" s="45">
        <v>23.88</v>
      </c>
      <c r="M296" s="45"/>
      <c r="N296" s="45"/>
      <c r="O296" s="45"/>
      <c r="P296" s="45"/>
      <c r="Q296" s="45"/>
      <c r="R296" s="45"/>
      <c r="S296" s="45"/>
      <c r="T296" s="45"/>
      <c r="U296" s="45"/>
      <c r="V296" s="45"/>
      <c r="W296" s="45"/>
      <c r="X296" s="45"/>
      <c r="Y296" s="45"/>
      <c r="Z296" s="45"/>
      <c r="AA296" s="45"/>
      <c r="AB296" s="45"/>
      <c r="AC296" s="45"/>
      <c r="AD296" s="45"/>
      <c r="AE296" s="45">
        <v>5.62</v>
      </c>
      <c r="AF296" s="45"/>
      <c r="AG296" s="45"/>
      <c r="AH296" s="45">
        <v>0.5</v>
      </c>
      <c r="AI296" s="45"/>
      <c r="AJ296" s="45"/>
      <c r="AK296" s="45"/>
      <c r="AL296" s="45"/>
      <c r="AM296" s="57">
        <v>20</v>
      </c>
      <c r="AN296" s="57"/>
      <c r="AO296" s="57">
        <v>15.62</v>
      </c>
      <c r="AP296" s="57">
        <v>6.25</v>
      </c>
      <c r="AQ296" s="57">
        <v>6.25</v>
      </c>
      <c r="AR296" s="57">
        <v>18.12</v>
      </c>
      <c r="AS296" s="57"/>
      <c r="AT296" s="57"/>
      <c r="AU296" s="57"/>
      <c r="AV296" s="57"/>
      <c r="AW296" s="31"/>
      <c r="AX296" s="31"/>
      <c r="AY296" s="31"/>
      <c r="AZ296" s="31"/>
      <c r="BA296" s="31"/>
      <c r="BB296" s="31"/>
      <c r="BC296" s="31"/>
      <c r="BD296" s="31"/>
      <c r="BE296" s="31"/>
      <c r="BF296" s="31">
        <v>0.62</v>
      </c>
      <c r="BG296" s="40"/>
      <c r="BH296" s="40"/>
      <c r="BI296" s="40"/>
      <c r="BJ296" s="282"/>
      <c r="BK296" s="57"/>
    </row>
    <row r="298" spans="1:63" x14ac:dyDescent="0.25">
      <c r="A298" s="1" t="s">
        <v>625</v>
      </c>
    </row>
    <row r="299" spans="1:63" x14ac:dyDescent="0.25">
      <c r="A299" s="35" t="s">
        <v>439</v>
      </c>
      <c r="B299" s="55" t="s">
        <v>521</v>
      </c>
      <c r="C299" s="58">
        <v>100</v>
      </c>
      <c r="D299" s="45">
        <v>3</v>
      </c>
      <c r="E299" s="45"/>
      <c r="F299" s="45"/>
      <c r="G299" s="45"/>
      <c r="H299" s="45"/>
      <c r="I299" s="45"/>
      <c r="J299" s="45"/>
      <c r="K299" s="45"/>
      <c r="L299" s="45"/>
      <c r="M299" s="45"/>
      <c r="N299" s="45"/>
      <c r="O299" s="45"/>
      <c r="P299" s="45"/>
      <c r="Q299" s="45"/>
      <c r="R299" s="45"/>
      <c r="S299" s="45"/>
      <c r="T299" s="45"/>
      <c r="U299" s="45"/>
      <c r="V299" s="45"/>
      <c r="W299" s="45"/>
      <c r="X299" s="45"/>
      <c r="Y299" s="45"/>
      <c r="Z299" s="45">
        <v>16.66</v>
      </c>
      <c r="AA299" s="45"/>
      <c r="AB299" s="45"/>
      <c r="AC299" s="45"/>
      <c r="AD299" s="45"/>
      <c r="AE299" s="45">
        <v>6</v>
      </c>
      <c r="AF299" s="45"/>
      <c r="AG299" s="45"/>
      <c r="AH299" s="45"/>
      <c r="AI299" s="45"/>
      <c r="AJ299" s="45"/>
      <c r="AK299" s="45"/>
      <c r="AL299" s="45"/>
      <c r="AM299" s="57">
        <v>2.35</v>
      </c>
      <c r="AN299" s="57"/>
      <c r="AO299" s="57">
        <v>25</v>
      </c>
      <c r="AP299" s="57">
        <v>10</v>
      </c>
      <c r="AQ299" s="57">
        <v>10</v>
      </c>
      <c r="AR299" s="57">
        <v>16.66</v>
      </c>
      <c r="AS299" s="57"/>
      <c r="AT299" s="57"/>
      <c r="AU299" s="57"/>
      <c r="AV299" s="57"/>
      <c r="AW299" s="13">
        <v>8.33</v>
      </c>
      <c r="AX299" s="13"/>
      <c r="AY299" s="13"/>
      <c r="AZ299" s="13"/>
      <c r="BA299" s="13"/>
      <c r="BB299" s="13"/>
      <c r="BC299" s="13"/>
      <c r="BD299" s="13"/>
      <c r="BE299" s="13"/>
      <c r="BF299" s="13"/>
      <c r="BG299" s="39">
        <v>2</v>
      </c>
      <c r="BH299" s="39"/>
      <c r="BI299" s="39"/>
      <c r="BJ299" s="281"/>
      <c r="BK299" s="57"/>
    </row>
    <row r="301" spans="1:63" x14ac:dyDescent="0.25">
      <c r="A301" s="1" t="s">
        <v>626</v>
      </c>
    </row>
    <row r="302" spans="1:63" x14ac:dyDescent="0.25">
      <c r="A302" s="35" t="s">
        <v>439</v>
      </c>
      <c r="B302" s="55" t="s">
        <v>514</v>
      </c>
      <c r="C302" s="58" t="e">
        <f>SUM(AllMix[[#This Row],[Black Sunflowers]:[Canary Mix]])</f>
        <v>#VALUE!</v>
      </c>
      <c r="D302" s="45">
        <v>5</v>
      </c>
      <c r="E302" s="45"/>
      <c r="F302" s="45"/>
      <c r="G302" s="45"/>
      <c r="H302" s="45"/>
      <c r="I302" s="45"/>
      <c r="J302" s="45"/>
      <c r="K302" s="45"/>
      <c r="L302" s="45">
        <v>20</v>
      </c>
      <c r="M302" s="45"/>
      <c r="N302" s="45"/>
      <c r="O302" s="45"/>
      <c r="P302" s="45"/>
      <c r="Q302" s="45"/>
      <c r="R302" s="45"/>
      <c r="S302" s="45"/>
      <c r="T302" s="45"/>
      <c r="U302" s="45"/>
      <c r="V302" s="45"/>
      <c r="W302" s="45"/>
      <c r="X302" s="45"/>
      <c r="Y302" s="45"/>
      <c r="Z302" s="45"/>
      <c r="AA302" s="45"/>
      <c r="AB302" s="45"/>
      <c r="AC302" s="45"/>
      <c r="AD302" s="45"/>
      <c r="AE302" s="45">
        <v>10</v>
      </c>
      <c r="AF302" s="45"/>
      <c r="AG302" s="45"/>
      <c r="AH302" s="45">
        <v>18</v>
      </c>
      <c r="AI302" s="45"/>
      <c r="AJ302" s="45"/>
      <c r="AK302" s="45"/>
      <c r="AL302" s="45"/>
      <c r="AM302" s="57">
        <v>30</v>
      </c>
      <c r="AN302" s="57">
        <v>10</v>
      </c>
      <c r="AO302" s="57"/>
      <c r="AP302" s="57"/>
      <c r="AQ302" s="57"/>
      <c r="AR302" s="57"/>
      <c r="AS302" s="57"/>
      <c r="AT302" s="57"/>
      <c r="AU302" s="57"/>
      <c r="AV302" s="57"/>
      <c r="AW302" s="13"/>
      <c r="AX302" s="13"/>
      <c r="AY302" s="13"/>
      <c r="AZ302" s="13"/>
      <c r="BA302" s="13">
        <v>5</v>
      </c>
      <c r="BB302" s="13"/>
      <c r="BC302" s="13"/>
      <c r="BD302" s="13">
        <v>2</v>
      </c>
      <c r="BE302" s="13"/>
      <c r="BF302" s="13"/>
      <c r="BG302" s="39"/>
      <c r="BH302" s="39">
        <v>0.02</v>
      </c>
      <c r="BI302" s="39">
        <v>0.04</v>
      </c>
      <c r="BJ302" s="281"/>
      <c r="BK302" s="57"/>
    </row>
    <row r="304" spans="1:63" x14ac:dyDescent="0.25">
      <c r="A304" s="1" t="s">
        <v>627</v>
      </c>
    </row>
    <row r="305" spans="1:63" x14ac:dyDescent="0.25">
      <c r="A305" s="35" t="s">
        <v>445</v>
      </c>
      <c r="B305" s="55" t="s">
        <v>494</v>
      </c>
      <c r="C305" s="285">
        <v>1290</v>
      </c>
      <c r="D305" s="45">
        <v>210</v>
      </c>
      <c r="E305" s="45"/>
      <c r="F305" s="45"/>
      <c r="G305" s="45"/>
      <c r="H305" s="45"/>
      <c r="I305" s="45"/>
      <c r="J305" s="45"/>
      <c r="K305" s="45">
        <v>150</v>
      </c>
      <c r="L305" s="45"/>
      <c r="M305" s="45"/>
      <c r="N305" s="45"/>
      <c r="O305" s="45"/>
      <c r="P305" s="45"/>
      <c r="Q305" s="45">
        <v>50</v>
      </c>
      <c r="R305" s="45">
        <v>200</v>
      </c>
      <c r="S305" s="45"/>
      <c r="T305" s="45">
        <v>600</v>
      </c>
      <c r="U305" s="45"/>
      <c r="V305" s="45"/>
      <c r="W305" s="45"/>
      <c r="X305" s="45"/>
      <c r="Y305" s="45"/>
      <c r="Z305" s="45">
        <v>80</v>
      </c>
      <c r="AA305" s="45"/>
      <c r="AB305" s="45"/>
      <c r="AC305" s="45"/>
      <c r="AD305" s="45"/>
      <c r="AE305" s="45"/>
      <c r="AF305" s="45"/>
      <c r="AG305" s="45"/>
      <c r="AH305" s="45"/>
      <c r="AI305" s="45"/>
      <c r="AJ305" s="45"/>
      <c r="AK305" s="45"/>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row>
    <row r="307" spans="1:63" x14ac:dyDescent="0.25">
      <c r="A307" s="1" t="s">
        <v>628</v>
      </c>
    </row>
    <row r="308" spans="1:63" x14ac:dyDescent="0.25">
      <c r="A308" s="290" t="s">
        <v>439</v>
      </c>
      <c r="B308" s="55" t="s">
        <v>521</v>
      </c>
      <c r="C308" s="285">
        <v>99.999999999999986</v>
      </c>
      <c r="D308" s="45">
        <v>3</v>
      </c>
      <c r="E308" s="45"/>
      <c r="F308" s="45"/>
      <c r="G308" s="45"/>
      <c r="H308" s="45"/>
      <c r="I308" s="45"/>
      <c r="J308" s="45"/>
      <c r="K308" s="45"/>
      <c r="L308" s="45"/>
      <c r="M308" s="45"/>
      <c r="N308" s="45"/>
      <c r="O308" s="45"/>
      <c r="P308" s="45"/>
      <c r="Q308" s="45"/>
      <c r="R308" s="45"/>
      <c r="S308" s="45"/>
      <c r="T308" s="45"/>
      <c r="U308" s="45"/>
      <c r="V308" s="45"/>
      <c r="W308" s="45"/>
      <c r="X308" s="45"/>
      <c r="Y308" s="45"/>
      <c r="Z308" s="45">
        <v>16.66</v>
      </c>
      <c r="AA308" s="45"/>
      <c r="AB308" s="45">
        <v>25</v>
      </c>
      <c r="AC308" s="45"/>
      <c r="AD308" s="45"/>
      <c r="AE308" s="45">
        <v>6</v>
      </c>
      <c r="AF308" s="45"/>
      <c r="AG308" s="45"/>
      <c r="AH308" s="45"/>
      <c r="AI308" s="45"/>
      <c r="AJ308" s="45"/>
      <c r="AK308" s="45"/>
      <c r="AL308" s="45"/>
      <c r="AM308" s="57">
        <v>2.35</v>
      </c>
      <c r="AN308" s="57"/>
      <c r="AO308" s="57"/>
      <c r="AP308" s="57">
        <v>10</v>
      </c>
      <c r="AQ308" s="57">
        <v>10</v>
      </c>
      <c r="AR308" s="57">
        <v>16.66</v>
      </c>
      <c r="AS308" s="57"/>
      <c r="AT308" s="57"/>
      <c r="AU308" s="57"/>
      <c r="AV308" s="57"/>
      <c r="AW308" s="13">
        <v>8.33</v>
      </c>
      <c r="AX308" s="13"/>
      <c r="AY308" s="13"/>
      <c r="AZ308" s="13"/>
      <c r="BA308" s="13"/>
      <c r="BB308" s="13"/>
      <c r="BC308" s="13"/>
      <c r="BD308" s="13"/>
      <c r="BE308" s="13"/>
      <c r="BF308" s="13"/>
      <c r="BG308" s="39">
        <v>2</v>
      </c>
      <c r="BH308" s="39"/>
      <c r="BI308" s="39"/>
      <c r="BJ308" s="281"/>
      <c r="BK308" s="45"/>
    </row>
  </sheetData>
  <autoFilter ref="A99:BI183" xr:uid="{269E369D-D477-464B-9009-8A01CADB24DE}"/>
  <phoneticPr fontId="34" type="noConversion"/>
  <pageMargins left="0.7" right="0.7" top="0.75" bottom="0.75" header="0.3" footer="0.3"/>
  <pageSetup paperSize="9" orientation="portrait" horizontalDpi="360" verticalDpi="360"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A76CB-67F8-4E4F-92A3-B1C4E0D1F9AA}">
  <sheetPr>
    <tabColor theme="0" tint="-4.9989318521683403E-2"/>
  </sheetPr>
  <dimension ref="A2:Z223"/>
  <sheetViews>
    <sheetView zoomScale="140" zoomScaleNormal="140" workbookViewId="0">
      <pane xSplit="4" ySplit="7" topLeftCell="E8" activePane="bottomRight" state="frozen"/>
      <selection pane="topRight" activeCell="E1" sqref="E1"/>
      <selection pane="bottomLeft" activeCell="A8" sqref="A8"/>
      <selection pane="bottomRight" activeCell="I3" sqref="I3"/>
    </sheetView>
  </sheetViews>
  <sheetFormatPr defaultColWidth="9.109375" defaultRowHeight="14.4" x14ac:dyDescent="0.3"/>
  <cols>
    <col min="1" max="1" width="50" style="180" bestFit="1" customWidth="1"/>
    <col min="2" max="2" width="12.5546875" style="206" customWidth="1"/>
    <col min="3" max="3" width="14.44140625" style="206" customWidth="1"/>
    <col min="4" max="4" width="1.5546875" style="72" customWidth="1"/>
    <col min="5" max="6" width="14.44140625" style="180" customWidth="1"/>
    <col min="7" max="7" width="14.44140625" style="181" customWidth="1"/>
    <col min="8" max="8" width="12.5546875" style="180" customWidth="1"/>
    <col min="9" max="9" width="15.44140625" style="180" bestFit="1" customWidth="1"/>
    <col min="10" max="10" width="12.5546875" style="180" customWidth="1"/>
    <col min="11" max="11" width="14.44140625" style="180" bestFit="1" customWidth="1"/>
    <col min="12" max="13" width="14.44140625" style="180" customWidth="1"/>
    <col min="14" max="16" width="12.5546875" style="180" customWidth="1"/>
    <col min="17" max="17" width="13.44140625" style="180" bestFit="1" customWidth="1"/>
    <col min="18" max="18" width="12.5546875" style="180" customWidth="1"/>
    <col min="19" max="19" width="13.44140625" style="180" bestFit="1" customWidth="1"/>
    <col min="20" max="20" width="3.5546875" style="180" customWidth="1"/>
    <col min="21" max="21" width="12.5546875" style="180" bestFit="1" customWidth="1"/>
    <col min="22" max="22" width="11.44140625" style="180" customWidth="1"/>
    <col min="23" max="16384" width="9.109375" style="180"/>
  </cols>
  <sheetData>
    <row r="2" spans="1:26" x14ac:dyDescent="0.3">
      <c r="A2" s="72"/>
      <c r="B2" s="72"/>
      <c r="C2" s="72"/>
    </row>
    <row r="3" spans="1:26" x14ac:dyDescent="0.3">
      <c r="A3" s="72"/>
      <c r="B3" s="72"/>
      <c r="C3" s="72"/>
      <c r="G3" s="195" t="s">
        <v>629</v>
      </c>
      <c r="I3" s="218">
        <f>SUM(I8:I203)</f>
        <v>189477.81222938985</v>
      </c>
      <c r="K3" s="218">
        <f>SUM(K8:K203)</f>
        <v>9285.7049999999981</v>
      </c>
      <c r="L3" s="218"/>
      <c r="M3" s="218">
        <f>SUM(M8:M203)</f>
        <v>18773.566159999998</v>
      </c>
      <c r="O3" s="218">
        <f>SUM(O8:O203)</f>
        <v>257.5</v>
      </c>
      <c r="Q3" s="218">
        <f>SUM(Q8:Q203)</f>
        <v>11468.365836363642</v>
      </c>
      <c r="S3" s="218">
        <f>SUM(S8:S203)</f>
        <v>23156.612272727274</v>
      </c>
    </row>
    <row r="4" spans="1:26" x14ac:dyDescent="0.3">
      <c r="A4" s="72"/>
      <c r="B4" s="72"/>
      <c r="C4" s="218">
        <f>SUM(C8:C203)</f>
        <v>377002.74</v>
      </c>
      <c r="G4" s="218">
        <f>SUM(I3:S3)</f>
        <v>252419.56149848073</v>
      </c>
      <c r="I4" s="270">
        <f>I3/$G$4</f>
        <v>0.75064630928189879</v>
      </c>
      <c r="J4" s="214"/>
      <c r="K4" s="270">
        <f>K3/$G$4</f>
        <v>3.6786788412418218E-2</v>
      </c>
      <c r="L4" s="270"/>
      <c r="M4" s="270">
        <f>M3/$G$4</f>
        <v>7.4374450413237855E-2</v>
      </c>
      <c r="N4" s="214"/>
      <c r="O4" s="271">
        <f>O3/$G$4</f>
        <v>1.0201269603328656E-3</v>
      </c>
      <c r="P4" s="214"/>
      <c r="Q4" s="270">
        <f>Q3/$G$4</f>
        <v>4.5433744390815246E-2</v>
      </c>
      <c r="R4" s="214"/>
      <c r="S4" s="270">
        <f>S3/$G$4</f>
        <v>9.1738580541297118E-2</v>
      </c>
      <c r="U4" s="218">
        <f>SUM(U8:U203)</f>
        <v>101026.87850151911</v>
      </c>
    </row>
    <row r="5" spans="1:26" x14ac:dyDescent="0.3">
      <c r="U5" s="72"/>
      <c r="V5" s="72"/>
    </row>
    <row r="6" spans="1:26" s="196" customFormat="1" ht="25.5" customHeight="1" x14ac:dyDescent="0.3">
      <c r="A6" s="314" t="s">
        <v>630</v>
      </c>
      <c r="B6" s="316" t="s">
        <v>631</v>
      </c>
      <c r="C6" s="322" t="s">
        <v>632</v>
      </c>
      <c r="D6" s="72"/>
      <c r="E6" s="318" t="s">
        <v>633</v>
      </c>
      <c r="F6" s="320" t="s">
        <v>411</v>
      </c>
      <c r="G6" s="320" t="s">
        <v>413</v>
      </c>
      <c r="H6" s="312" t="s">
        <v>417</v>
      </c>
      <c r="I6" s="313"/>
      <c r="J6" s="312" t="s">
        <v>418</v>
      </c>
      <c r="K6" s="313"/>
      <c r="L6" s="312" t="s">
        <v>419</v>
      </c>
      <c r="M6" s="313"/>
      <c r="N6" s="312" t="s">
        <v>420</v>
      </c>
      <c r="O6" s="313"/>
      <c r="P6" s="312" t="s">
        <v>421</v>
      </c>
      <c r="Q6" s="313"/>
      <c r="R6" s="312" t="s">
        <v>422</v>
      </c>
      <c r="S6" s="313"/>
      <c r="U6" s="310" t="s">
        <v>634</v>
      </c>
      <c r="V6" s="311"/>
    </row>
    <row r="7" spans="1:26" s="196" customFormat="1" x14ac:dyDescent="0.3">
      <c r="A7" s="315"/>
      <c r="B7" s="317"/>
      <c r="C7" s="323"/>
      <c r="D7" s="72"/>
      <c r="E7" s="319"/>
      <c r="F7" s="321"/>
      <c r="G7" s="321"/>
      <c r="H7" s="201" t="s">
        <v>407</v>
      </c>
      <c r="I7" s="201" t="s">
        <v>635</v>
      </c>
      <c r="J7" s="201" t="s">
        <v>407</v>
      </c>
      <c r="K7" s="201" t="s">
        <v>635</v>
      </c>
      <c r="L7" s="201" t="s">
        <v>407</v>
      </c>
      <c r="M7" s="201" t="s">
        <v>635</v>
      </c>
      <c r="N7" s="201" t="s">
        <v>407</v>
      </c>
      <c r="O7" s="201" t="s">
        <v>635</v>
      </c>
      <c r="P7" s="201" t="s">
        <v>407</v>
      </c>
      <c r="Q7" s="201" t="s">
        <v>635</v>
      </c>
      <c r="R7" s="201" t="s">
        <v>407</v>
      </c>
      <c r="S7" s="201" t="s">
        <v>635</v>
      </c>
      <c r="U7" s="275" t="s">
        <v>636</v>
      </c>
      <c r="V7" s="275" t="s">
        <v>637</v>
      </c>
    </row>
    <row r="8" spans="1:26" x14ac:dyDescent="0.3">
      <c r="A8" s="278" t="s">
        <v>638</v>
      </c>
      <c r="B8" s="278">
        <v>520</v>
      </c>
      <c r="C8" s="279">
        <v>6537.12</v>
      </c>
      <c r="E8" s="202">
        <f t="shared" ref="E8:E39" si="0">IFERROR(VALUE(LEFT(A8,6)),"")</f>
        <v>373022</v>
      </c>
      <c r="F8" s="203" t="str">
        <f>IFERROR(_xlfn.XLOOKUP($E8,'Product Cost - Price'!$B$5:$B$301,'Product Cost - Price'!$E$5:$E$301),"")</f>
        <v>Standard</v>
      </c>
      <c r="G8" s="203">
        <f>IFERROR(_xlfn.XLOOKUP($E8,'Product Cost - Price'!$B$5:$B$301,'Product Cost - Price'!$G$5:$G$301),"")</f>
        <v>20</v>
      </c>
      <c r="H8" s="204">
        <f>IFERROR(_xlfn.XLOOKUP($E8,'Product Cost - Price'!$B$5:$B$301,'Product Cost - Price'!$L$5:$L$301),"")</f>
        <v>0.37275000000000003</v>
      </c>
      <c r="I8" s="204">
        <f t="shared" ref="I8:I39" si="1">IFERROR(IF($F8="Standard",H8*$G8*$B8,IF(OR($F8="Per Unit",$F8="Bulka"),H8*$B8,IF($F8="1.5 kg",H8*1.5*8*$B8,"No Std"))),0)</f>
        <v>3876.6</v>
      </c>
      <c r="J8" s="204">
        <f>IFERROR(_xlfn.XLOOKUP($E8,'Product Cost - Price'!$B$5:$B$301,'Product Cost - Price'!$M$5:$M$301),"")</f>
        <v>5.5E-2</v>
      </c>
      <c r="K8" s="204">
        <f t="shared" ref="K8:K39" si="2">IFERROR(IF($F8="Standard",J8*$G8*$B8,IF(OR($F8="Per Unit",$F8="Bulka"),J8*$B8,IF($F8="1.5 kg",J8*1.5*8*$B8,"No Std"))),0)</f>
        <v>572</v>
      </c>
      <c r="L8" s="204">
        <f>IFERROR(_xlfn.XLOOKUP($E8,'Product Cost - Price'!$B$5:$B$301,'Product Cost - Price'!$N$5:$N$301),"")</f>
        <v>0.04</v>
      </c>
      <c r="M8" s="204">
        <f t="shared" ref="M8:M39" si="3">IFERROR(IF($F8="Standard",L8*$G8*$B8,IF(OR($F8="Per Unit",$F8="Bulka"),L8*$B8,IF($F8="1.5 kg",L8*1.5*8*$B8,"No Std"))),0)</f>
        <v>416</v>
      </c>
      <c r="N8" s="204">
        <f>IFERROR(_xlfn.XLOOKUP($E8,'Product Cost - Price'!$B$5:$B$301,'Product Cost - Price'!$O$5:$O$301),"")</f>
        <v>0</v>
      </c>
      <c r="O8" s="204">
        <f t="shared" ref="O8:O39" si="4">IFERROR(IF($F8="Standard",N8*$G8*$B8,IF(OR($F8="Per Unit",$F8="Bulka"),N8*$B8,IF($F8="1.5 kg",N8*1.5*8*$B8,"No Std"))),0)</f>
        <v>0</v>
      </c>
      <c r="P8" s="204">
        <f>IFERROR(_xlfn.XLOOKUP($E8,'Product Cost - Price'!$B$5:$B$301,'Product Cost - Price'!$P$5:$P$301),"")</f>
        <v>0.6925</v>
      </c>
      <c r="Q8" s="204">
        <f t="shared" ref="Q8:Q39" si="5">IF(P8="","",P8*B8)</f>
        <v>360.1</v>
      </c>
      <c r="R8" s="204">
        <f>IFERROR(_xlfn.XLOOKUP($E8,'Product Cost - Price'!$B$5:$B$301,'Product Cost - Price'!$Q$5:$Q$301),"")</f>
        <v>1.4583333333333333</v>
      </c>
      <c r="S8" s="204">
        <f t="shared" ref="S8:S39" si="6">IF(R8="","",R8*B8)</f>
        <v>758.33333333333326</v>
      </c>
      <c r="U8" s="204">
        <f t="shared" ref="U8:U39" si="7">IFERROR(C8-I8-K8-M8-O8-Q8-S8,"")</f>
        <v>554.08666666666682</v>
      </c>
      <c r="V8" s="276">
        <f t="shared" ref="V8:V39" si="8">IFERROR(U8/C8,"")</f>
        <v>8.4760057436098282E-2</v>
      </c>
      <c r="Z8" s="287"/>
    </row>
    <row r="9" spans="1:26" x14ac:dyDescent="0.3">
      <c r="A9" s="278" t="s">
        <v>639</v>
      </c>
      <c r="B9" s="278">
        <v>534</v>
      </c>
      <c r="C9" s="279">
        <v>8910</v>
      </c>
      <c r="E9" s="202">
        <f t="shared" si="0"/>
        <v>373023</v>
      </c>
      <c r="F9" s="203" t="str">
        <f>IFERROR(_xlfn.XLOOKUP($E9,'Product Cost - Price'!$B$5:$B$301,'Product Cost - Price'!$E$5:$E$301),"")</f>
        <v>Standard</v>
      </c>
      <c r="G9" s="203">
        <f>IFERROR(_xlfn.XLOOKUP($E9,'Product Cost - Price'!$B$5:$B$301,'Product Cost - Price'!$G$5:$G$301),"")</f>
        <v>20</v>
      </c>
      <c r="H9" s="204">
        <f>IFERROR(_xlfn.XLOOKUP($E9,'Product Cost - Price'!$B$5:$B$301,'Product Cost - Price'!$L$5:$L$301),"")</f>
        <v>0.504</v>
      </c>
      <c r="I9" s="204">
        <f t="shared" si="1"/>
        <v>5382.72</v>
      </c>
      <c r="J9" s="204">
        <f>IFERROR(_xlfn.XLOOKUP($E9,'Product Cost - Price'!$B$5:$B$301,'Product Cost - Price'!$M$5:$M$301),"")</f>
        <v>5.5E-2</v>
      </c>
      <c r="K9" s="204">
        <f t="shared" si="2"/>
        <v>587.40000000000009</v>
      </c>
      <c r="L9" s="204">
        <f>IFERROR(_xlfn.XLOOKUP($E9,'Product Cost - Price'!$B$5:$B$301,'Product Cost - Price'!$N$5:$N$301),"")</f>
        <v>0.04</v>
      </c>
      <c r="M9" s="204">
        <f t="shared" si="3"/>
        <v>427.20000000000005</v>
      </c>
      <c r="N9" s="204">
        <f>IFERROR(_xlfn.XLOOKUP($E9,'Product Cost - Price'!$B$5:$B$301,'Product Cost - Price'!$O$5:$O$301),"")</f>
        <v>0</v>
      </c>
      <c r="O9" s="204">
        <f t="shared" si="4"/>
        <v>0</v>
      </c>
      <c r="P9" s="204">
        <f>IFERROR(_xlfn.XLOOKUP($E9,'Product Cost - Price'!$B$5:$B$301,'Product Cost - Price'!$P$5:$P$301),"")</f>
        <v>0.6925</v>
      </c>
      <c r="Q9" s="204">
        <f t="shared" si="5"/>
        <v>369.79500000000002</v>
      </c>
      <c r="R9" s="204">
        <f>IFERROR(_xlfn.XLOOKUP($E9,'Product Cost - Price'!$B$5:$B$301,'Product Cost - Price'!$Q$5:$Q$301),"")</f>
        <v>1.4583333333333333</v>
      </c>
      <c r="S9" s="204">
        <f t="shared" si="6"/>
        <v>778.75</v>
      </c>
      <c r="U9" s="204">
        <f t="shared" si="7"/>
        <v>1364.1349999999993</v>
      </c>
      <c r="V9" s="276">
        <f t="shared" si="8"/>
        <v>0.15310157126823787</v>
      </c>
    </row>
    <row r="10" spans="1:26" x14ac:dyDescent="0.3">
      <c r="A10" s="278" t="s">
        <v>640</v>
      </c>
      <c r="B10" s="278">
        <v>434</v>
      </c>
      <c r="C10" s="279">
        <v>3472</v>
      </c>
      <c r="E10" s="202">
        <f t="shared" si="0"/>
        <v>380862</v>
      </c>
      <c r="F10" s="203" t="str">
        <f>IFERROR(_xlfn.XLOOKUP($E10,'Product Cost - Price'!$B$5:$B$301,'Product Cost - Price'!$E$5:$E$301),"")</f>
        <v>Per Unit</v>
      </c>
      <c r="G10" s="203">
        <f>IFERROR(_xlfn.XLOOKUP($E10,'Product Cost - Price'!$B$5:$B$301,'Product Cost - Price'!$G$5:$G$301),"")</f>
        <v>1</v>
      </c>
      <c r="H10" s="204">
        <f>IFERROR(_xlfn.XLOOKUP($E10,'Product Cost - Price'!$B$5:$B$301,'Product Cost - Price'!$L$5:$L$301),"")</f>
        <v>2.7</v>
      </c>
      <c r="I10" s="204">
        <f t="shared" si="1"/>
        <v>1171.8000000000002</v>
      </c>
      <c r="J10" s="204">
        <f>IFERROR(_xlfn.XLOOKUP($E10,'Product Cost - Price'!$B$5:$B$301,'Product Cost - Price'!$M$5:$M$301),"")</f>
        <v>0</v>
      </c>
      <c r="K10" s="204">
        <f t="shared" si="2"/>
        <v>0</v>
      </c>
      <c r="L10" s="204">
        <f>IFERROR(_xlfn.XLOOKUP($E10,'Product Cost - Price'!$B$5:$B$301,'Product Cost - Price'!$N$5:$N$301),"")</f>
        <v>0.6</v>
      </c>
      <c r="M10" s="204">
        <f t="shared" si="3"/>
        <v>260.39999999999998</v>
      </c>
      <c r="N10" s="204">
        <f>IFERROR(_xlfn.XLOOKUP($E10,'Product Cost - Price'!$B$5:$B$301,'Product Cost - Price'!$O$5:$O$301),"")</f>
        <v>0</v>
      </c>
      <c r="O10" s="204">
        <f t="shared" si="4"/>
        <v>0</v>
      </c>
      <c r="P10" s="204">
        <f>IFERROR(_xlfn.XLOOKUP($E10,'Product Cost - Price'!$B$5:$B$301,'Product Cost - Price'!$P$5:$P$301),"")</f>
        <v>0</v>
      </c>
      <c r="Q10" s="204">
        <f t="shared" si="5"/>
        <v>0</v>
      </c>
      <c r="R10" s="204">
        <f>IFERROR(_xlfn.XLOOKUP($E10,'Product Cost - Price'!$B$5:$B$301,'Product Cost - Price'!$Q$5:$Q$301),"")</f>
        <v>3.5</v>
      </c>
      <c r="S10" s="204">
        <f t="shared" si="6"/>
        <v>1519</v>
      </c>
      <c r="U10" s="204">
        <f t="shared" si="7"/>
        <v>520.79999999999973</v>
      </c>
      <c r="V10" s="276">
        <f t="shared" si="8"/>
        <v>0.14999999999999991</v>
      </c>
    </row>
    <row r="11" spans="1:26" x14ac:dyDescent="0.3">
      <c r="A11" s="278" t="s">
        <v>641</v>
      </c>
      <c r="B11" s="278">
        <v>36</v>
      </c>
      <c r="C11" s="279">
        <v>1008</v>
      </c>
      <c r="E11" s="202">
        <f t="shared" si="0"/>
        <v>380863</v>
      </c>
      <c r="F11" s="203" t="str">
        <f>IFERROR(_xlfn.XLOOKUP($E11,'Product Cost - Price'!$B$5:$B$301,'Product Cost - Price'!$E$5:$E$301),"")</f>
        <v>Per Unit</v>
      </c>
      <c r="G11" s="203">
        <f>IFERROR(_xlfn.XLOOKUP($E11,'Product Cost - Price'!$B$5:$B$301,'Product Cost - Price'!$G$5:$G$301),"")</f>
        <v>1</v>
      </c>
      <c r="H11" s="204">
        <f>IFERROR(_xlfn.XLOOKUP($E11,'Product Cost - Price'!$B$5:$B$301,'Product Cost - Price'!$L$5:$L$301),"")</f>
        <v>19</v>
      </c>
      <c r="I11" s="204">
        <f t="shared" si="1"/>
        <v>684</v>
      </c>
      <c r="J11" s="204">
        <f>IFERROR(_xlfn.XLOOKUP($E11,'Product Cost - Price'!$B$5:$B$301,'Product Cost - Price'!$M$5:$M$301),"")</f>
        <v>0</v>
      </c>
      <c r="K11" s="204">
        <f t="shared" si="2"/>
        <v>0</v>
      </c>
      <c r="L11" s="204">
        <f>IFERROR(_xlfn.XLOOKUP($E11,'Product Cost - Price'!$B$5:$B$301,'Product Cost - Price'!$N$5:$N$301),"")</f>
        <v>0.6</v>
      </c>
      <c r="M11" s="204">
        <f t="shared" si="3"/>
        <v>21.599999999999998</v>
      </c>
      <c r="N11" s="204">
        <f>IFERROR(_xlfn.XLOOKUP($E11,'Product Cost - Price'!$B$5:$B$301,'Product Cost - Price'!$O$5:$O$301),"")</f>
        <v>0</v>
      </c>
      <c r="O11" s="204">
        <f t="shared" si="4"/>
        <v>0</v>
      </c>
      <c r="P11" s="204">
        <f>IFERROR(_xlfn.XLOOKUP($E11,'Product Cost - Price'!$B$5:$B$301,'Product Cost - Price'!$P$5:$P$301),"")</f>
        <v>0</v>
      </c>
      <c r="Q11" s="204">
        <f t="shared" si="5"/>
        <v>0</v>
      </c>
      <c r="R11" s="204">
        <f>IFERROR(_xlfn.XLOOKUP($E11,'Product Cost - Price'!$B$5:$B$301,'Product Cost - Price'!$Q$5:$Q$301),"")</f>
        <v>3.5</v>
      </c>
      <c r="S11" s="204">
        <f t="shared" si="6"/>
        <v>126</v>
      </c>
      <c r="U11" s="204">
        <f t="shared" si="7"/>
        <v>176.39999999999998</v>
      </c>
      <c r="V11" s="276">
        <f t="shared" si="8"/>
        <v>0.17499999999999999</v>
      </c>
    </row>
    <row r="12" spans="1:26" x14ac:dyDescent="0.3">
      <c r="A12" s="278" t="s">
        <v>642</v>
      </c>
      <c r="B12" s="278">
        <v>85</v>
      </c>
      <c r="C12" s="279">
        <v>2210</v>
      </c>
      <c r="E12" s="202">
        <f t="shared" si="0"/>
        <v>380867</v>
      </c>
      <c r="F12" s="203" t="str">
        <f>IFERROR(_xlfn.XLOOKUP($E12,'Product Cost - Price'!$B$5:$B$301,'Product Cost - Price'!$E$5:$E$301),"")</f>
        <v>Standard</v>
      </c>
      <c r="G12" s="203">
        <f>IFERROR(_xlfn.XLOOKUP($E12,'Product Cost - Price'!$B$5:$B$301,'Product Cost - Price'!$G$5:$G$301),"")</f>
        <v>20</v>
      </c>
      <c r="H12" s="204">
        <f>IFERROR(_xlfn.XLOOKUP($E12,'Product Cost - Price'!$B$5:$B$301,'Product Cost - Price'!$L$5:$L$301),"")</f>
        <v>0.7004604305722727</v>
      </c>
      <c r="I12" s="204">
        <f t="shared" si="1"/>
        <v>1190.7827319728635</v>
      </c>
      <c r="J12" s="204">
        <f>IFERROR(_xlfn.XLOOKUP($E12,'Product Cost - Price'!$B$5:$B$301,'Product Cost - Price'!$M$5:$M$301),"")</f>
        <v>5.5E-2</v>
      </c>
      <c r="K12" s="204">
        <f t="shared" si="2"/>
        <v>93.500000000000014</v>
      </c>
      <c r="L12" s="204">
        <f>IFERROR(_xlfn.XLOOKUP($E12,'Product Cost - Price'!$B$5:$B$301,'Product Cost - Price'!$N$5:$N$301),"")</f>
        <v>0.08</v>
      </c>
      <c r="M12" s="204">
        <f t="shared" si="3"/>
        <v>136</v>
      </c>
      <c r="N12" s="204">
        <f>IFERROR(_xlfn.XLOOKUP($E12,'Product Cost - Price'!$B$5:$B$301,'Product Cost - Price'!$O$5:$O$301),"")</f>
        <v>0</v>
      </c>
      <c r="O12" s="204">
        <f t="shared" si="4"/>
        <v>0</v>
      </c>
      <c r="P12" s="204">
        <f>IFERROR(_xlfn.XLOOKUP($E12,'Product Cost - Price'!$B$5:$B$301,'Product Cost - Price'!$P$5:$P$301),"")</f>
        <v>0.6925</v>
      </c>
      <c r="Q12" s="204">
        <f t="shared" si="5"/>
        <v>58.862499999999997</v>
      </c>
      <c r="R12" s="204">
        <f>IFERROR(_xlfn.XLOOKUP($E12,'Product Cost - Price'!$B$5:$B$301,'Product Cost - Price'!$Q$5:$Q$301),"")</f>
        <v>1.4583333333333333</v>
      </c>
      <c r="S12" s="204">
        <f t="shared" si="6"/>
        <v>123.95833333333333</v>
      </c>
      <c r="U12" s="204">
        <f t="shared" si="7"/>
        <v>606.89643469380314</v>
      </c>
      <c r="V12" s="276">
        <f t="shared" si="8"/>
        <v>0.27461377135466203</v>
      </c>
    </row>
    <row r="13" spans="1:26" x14ac:dyDescent="0.3">
      <c r="A13" s="278" t="s">
        <v>643</v>
      </c>
      <c r="B13" s="278">
        <v>67</v>
      </c>
      <c r="C13" s="279">
        <v>944.7</v>
      </c>
      <c r="E13" s="202">
        <f t="shared" si="0"/>
        <v>383789</v>
      </c>
      <c r="F13" s="203" t="str">
        <f>IFERROR(_xlfn.XLOOKUP($E13,'Product Cost - Price'!$B$5:$B$301,'Product Cost - Price'!$E$5:$E$301),"")</f>
        <v>Standard</v>
      </c>
      <c r="G13" s="203">
        <f>IFERROR(_xlfn.XLOOKUP($E13,'Product Cost - Price'!$B$5:$B$301,'Product Cost - Price'!$G$5:$G$301),"")</f>
        <v>20</v>
      </c>
      <c r="H13" s="204">
        <f>IFERROR(_xlfn.XLOOKUP($E13,'Product Cost - Price'!$B$5:$B$301,'Product Cost - Price'!$L$5:$L$301),"")</f>
        <v>0.35385</v>
      </c>
      <c r="I13" s="204">
        <f t="shared" si="1"/>
        <v>474.15899999999999</v>
      </c>
      <c r="J13" s="204">
        <f>IFERROR(_xlfn.XLOOKUP($E13,'Product Cost - Price'!$B$5:$B$301,'Product Cost - Price'!$M$5:$M$301),"")</f>
        <v>5.5E-2</v>
      </c>
      <c r="K13" s="204">
        <f t="shared" si="2"/>
        <v>73.7</v>
      </c>
      <c r="L13" s="204">
        <f>IFERROR(_xlfn.XLOOKUP($E13,'Product Cost - Price'!$B$5:$B$301,'Product Cost - Price'!$N$5:$N$301),"")</f>
        <v>0.04</v>
      </c>
      <c r="M13" s="204">
        <f t="shared" si="3"/>
        <v>53.6</v>
      </c>
      <c r="N13" s="204">
        <f>IFERROR(_xlfn.XLOOKUP($E13,'Product Cost - Price'!$B$5:$B$301,'Product Cost - Price'!$O$5:$O$301),"")</f>
        <v>0</v>
      </c>
      <c r="O13" s="204">
        <f t="shared" si="4"/>
        <v>0</v>
      </c>
      <c r="P13" s="204">
        <f>IFERROR(_xlfn.XLOOKUP($E13,'Product Cost - Price'!$B$5:$B$301,'Product Cost - Price'!$P$5:$P$301),"")</f>
        <v>0.6925</v>
      </c>
      <c r="Q13" s="204">
        <f t="shared" si="5"/>
        <v>46.397500000000001</v>
      </c>
      <c r="R13" s="204">
        <f>IFERROR(_xlfn.XLOOKUP($E13,'Product Cost - Price'!$B$5:$B$301,'Product Cost - Price'!$Q$5:$Q$301),"")</f>
        <v>1.4583333333333333</v>
      </c>
      <c r="S13" s="204">
        <f t="shared" si="6"/>
        <v>97.708333333333329</v>
      </c>
      <c r="U13" s="204">
        <f t="shared" si="7"/>
        <v>199.13516666666675</v>
      </c>
      <c r="V13" s="276">
        <f t="shared" si="8"/>
        <v>0.21079196217494098</v>
      </c>
    </row>
    <row r="14" spans="1:26" x14ac:dyDescent="0.3">
      <c r="A14" s="278" t="s">
        <v>644</v>
      </c>
      <c r="B14" s="278">
        <v>26</v>
      </c>
      <c r="C14" s="279">
        <v>449.8</v>
      </c>
      <c r="E14" s="202">
        <f t="shared" si="0"/>
        <v>383790</v>
      </c>
      <c r="F14" s="203" t="str">
        <f>IFERROR(_xlfn.XLOOKUP($E14,'Product Cost - Price'!$B$5:$B$301,'Product Cost - Price'!$E$5:$E$301),"")</f>
        <v>Standard</v>
      </c>
      <c r="G14" s="203">
        <f>IFERROR(_xlfn.XLOOKUP($E14,'Product Cost - Price'!$B$5:$B$301,'Product Cost - Price'!$G$5:$G$301),"")</f>
        <v>20</v>
      </c>
      <c r="H14" s="204">
        <f>IFERROR(_xlfn.XLOOKUP($E14,'Product Cost - Price'!$B$5:$B$301,'Product Cost - Price'!$L$5:$L$301),"")</f>
        <v>0.38324999999999998</v>
      </c>
      <c r="I14" s="204">
        <f t="shared" si="1"/>
        <v>199.28999999999996</v>
      </c>
      <c r="J14" s="204">
        <f>IFERROR(_xlfn.XLOOKUP($E14,'Product Cost - Price'!$B$5:$B$301,'Product Cost - Price'!$M$5:$M$301),"")</f>
        <v>5.5E-2</v>
      </c>
      <c r="K14" s="204">
        <f t="shared" si="2"/>
        <v>28.6</v>
      </c>
      <c r="L14" s="204">
        <f>IFERROR(_xlfn.XLOOKUP($E14,'Product Cost - Price'!$B$5:$B$301,'Product Cost - Price'!$N$5:$N$301),"")</f>
        <v>0.04</v>
      </c>
      <c r="M14" s="204">
        <f t="shared" si="3"/>
        <v>20.8</v>
      </c>
      <c r="N14" s="204">
        <f>IFERROR(_xlfn.XLOOKUP($E14,'Product Cost - Price'!$B$5:$B$301,'Product Cost - Price'!$O$5:$O$301),"")</f>
        <v>0</v>
      </c>
      <c r="O14" s="204">
        <f t="shared" si="4"/>
        <v>0</v>
      </c>
      <c r="P14" s="204">
        <f>IFERROR(_xlfn.XLOOKUP($E14,'Product Cost - Price'!$B$5:$B$301,'Product Cost - Price'!$P$5:$P$301),"")</f>
        <v>0.6925</v>
      </c>
      <c r="Q14" s="204">
        <f t="shared" si="5"/>
        <v>18.004999999999999</v>
      </c>
      <c r="R14" s="204">
        <f>IFERROR(_xlfn.XLOOKUP($E14,'Product Cost - Price'!$B$5:$B$301,'Product Cost - Price'!$Q$5:$Q$301),"")</f>
        <v>1.4583333333333333</v>
      </c>
      <c r="S14" s="204">
        <f t="shared" si="6"/>
        <v>37.916666666666664</v>
      </c>
      <c r="U14" s="204">
        <f t="shared" si="7"/>
        <v>145.18833333333339</v>
      </c>
      <c r="V14" s="276">
        <f t="shared" si="8"/>
        <v>0.32278420038535655</v>
      </c>
    </row>
    <row r="15" spans="1:26" x14ac:dyDescent="0.3">
      <c r="A15" s="278" t="s">
        <v>645</v>
      </c>
      <c r="B15" s="278">
        <v>11</v>
      </c>
      <c r="C15" s="279">
        <v>302.5</v>
      </c>
      <c r="E15" s="202">
        <f t="shared" si="0"/>
        <v>383791</v>
      </c>
      <c r="F15" s="203" t="str">
        <f>IFERROR(_xlfn.XLOOKUP($E15,'Product Cost - Price'!$B$5:$B$301,'Product Cost - Price'!$E$5:$E$301),"")</f>
        <v>Standard</v>
      </c>
      <c r="G15" s="203">
        <f>IFERROR(_xlfn.XLOOKUP($E15,'Product Cost - Price'!$B$5:$B$301,'Product Cost - Price'!$G$5:$G$301),"")</f>
        <v>20</v>
      </c>
      <c r="H15" s="204">
        <f>IFERROR(_xlfn.XLOOKUP($E15,'Product Cost - Price'!$B$5:$B$301,'Product Cost - Price'!$L$5:$L$301),"")</f>
        <v>0.88200000000000001</v>
      </c>
      <c r="I15" s="204">
        <f t="shared" si="1"/>
        <v>194.04000000000002</v>
      </c>
      <c r="J15" s="204">
        <f>IFERROR(_xlfn.XLOOKUP($E15,'Product Cost - Price'!$B$5:$B$301,'Product Cost - Price'!$M$5:$M$301),"")</f>
        <v>5.5E-2</v>
      </c>
      <c r="K15" s="204">
        <f t="shared" si="2"/>
        <v>12.100000000000001</v>
      </c>
      <c r="L15" s="204">
        <f>IFERROR(_xlfn.XLOOKUP($E15,'Product Cost - Price'!$B$5:$B$301,'Product Cost - Price'!$N$5:$N$301),"")</f>
        <v>0.04</v>
      </c>
      <c r="M15" s="204">
        <f t="shared" si="3"/>
        <v>8.8000000000000007</v>
      </c>
      <c r="N15" s="204">
        <f>IFERROR(_xlfn.XLOOKUP($E15,'Product Cost - Price'!$B$5:$B$301,'Product Cost - Price'!$O$5:$O$301),"")</f>
        <v>0</v>
      </c>
      <c r="O15" s="204">
        <f t="shared" si="4"/>
        <v>0</v>
      </c>
      <c r="P15" s="204">
        <f>IFERROR(_xlfn.XLOOKUP($E15,'Product Cost - Price'!$B$5:$B$301,'Product Cost - Price'!$P$5:$P$301),"")</f>
        <v>0.6925</v>
      </c>
      <c r="Q15" s="204">
        <f t="shared" si="5"/>
        <v>7.6174999999999997</v>
      </c>
      <c r="R15" s="204">
        <f>IFERROR(_xlfn.XLOOKUP($E15,'Product Cost - Price'!$B$5:$B$301,'Product Cost - Price'!$Q$5:$Q$301),"")</f>
        <v>1.4583333333333333</v>
      </c>
      <c r="S15" s="204">
        <f t="shared" si="6"/>
        <v>16.041666666666664</v>
      </c>
      <c r="U15" s="204">
        <f t="shared" si="7"/>
        <v>63.900833333333331</v>
      </c>
      <c r="V15" s="276">
        <f t="shared" si="8"/>
        <v>0.21124242424242423</v>
      </c>
    </row>
    <row r="16" spans="1:26" x14ac:dyDescent="0.3">
      <c r="A16" s="278" t="s">
        <v>646</v>
      </c>
      <c r="B16" s="278">
        <v>71</v>
      </c>
      <c r="C16" s="279">
        <v>1635.2</v>
      </c>
      <c r="E16" s="202">
        <f t="shared" si="0"/>
        <v>383792</v>
      </c>
      <c r="F16" s="203" t="str">
        <f>IFERROR(_xlfn.XLOOKUP($E16,'Product Cost - Price'!$B$5:$B$301,'Product Cost - Price'!$E$5:$E$301),"")</f>
        <v>Standard</v>
      </c>
      <c r="G16" s="203">
        <f>IFERROR(_xlfn.XLOOKUP($E16,'Product Cost - Price'!$B$5:$B$301,'Product Cost - Price'!$G$5:$G$301),"")</f>
        <v>20</v>
      </c>
      <c r="H16" s="204">
        <f>IFERROR(_xlfn.XLOOKUP($E16,'Product Cost - Price'!$B$5:$B$301,'Product Cost - Price'!$L$5:$L$301),"")</f>
        <v>0.69847500000000007</v>
      </c>
      <c r="I16" s="204">
        <f t="shared" si="1"/>
        <v>991.83450000000016</v>
      </c>
      <c r="J16" s="204">
        <f>IFERROR(_xlfn.XLOOKUP($E16,'Product Cost - Price'!$B$5:$B$301,'Product Cost - Price'!$M$5:$M$301),"")</f>
        <v>5.5E-2</v>
      </c>
      <c r="K16" s="204">
        <f t="shared" si="2"/>
        <v>78.100000000000009</v>
      </c>
      <c r="L16" s="204">
        <f>IFERROR(_xlfn.XLOOKUP($E16,'Product Cost - Price'!$B$5:$B$301,'Product Cost - Price'!$N$5:$N$301),"")</f>
        <v>0.04</v>
      </c>
      <c r="M16" s="204">
        <f t="shared" si="3"/>
        <v>56.800000000000004</v>
      </c>
      <c r="N16" s="204">
        <f>IFERROR(_xlfn.XLOOKUP($E16,'Product Cost - Price'!$B$5:$B$301,'Product Cost - Price'!$O$5:$O$301),"")</f>
        <v>0</v>
      </c>
      <c r="O16" s="204">
        <f t="shared" si="4"/>
        <v>0</v>
      </c>
      <c r="P16" s="204">
        <f>IFERROR(_xlfn.XLOOKUP($E16,'Product Cost - Price'!$B$5:$B$301,'Product Cost - Price'!$P$5:$P$301),"")</f>
        <v>0.6925</v>
      </c>
      <c r="Q16" s="204">
        <f t="shared" si="5"/>
        <v>49.167499999999997</v>
      </c>
      <c r="R16" s="204">
        <f>IFERROR(_xlfn.XLOOKUP($E16,'Product Cost - Price'!$B$5:$B$301,'Product Cost - Price'!$Q$5:$Q$301),"")</f>
        <v>1.4583333333333333</v>
      </c>
      <c r="S16" s="204">
        <f t="shared" si="6"/>
        <v>103.54166666666666</v>
      </c>
      <c r="U16" s="204">
        <f t="shared" si="7"/>
        <v>355.75633333333315</v>
      </c>
      <c r="V16" s="276">
        <f t="shared" si="8"/>
        <v>0.21756135844748847</v>
      </c>
    </row>
    <row r="17" spans="1:22" x14ac:dyDescent="0.3">
      <c r="A17" s="278" t="s">
        <v>647</v>
      </c>
      <c r="B17" s="278">
        <v>4</v>
      </c>
      <c r="C17" s="279">
        <v>104.72</v>
      </c>
      <c r="E17" s="202">
        <f t="shared" si="0"/>
        <v>383793</v>
      </c>
      <c r="F17" s="203" t="str">
        <f>IFERROR(_xlfn.XLOOKUP($E17,'Product Cost - Price'!$B$5:$B$301,'Product Cost - Price'!$E$5:$E$301),"")</f>
        <v>Standard</v>
      </c>
      <c r="G17" s="203">
        <f>IFERROR(_xlfn.XLOOKUP($E17,'Product Cost - Price'!$B$5:$B$301,'Product Cost - Price'!$G$5:$G$301),"")</f>
        <v>20</v>
      </c>
      <c r="H17" s="204">
        <f>IFERROR(_xlfn.XLOOKUP($E17,'Product Cost - Price'!$B$5:$B$301,'Product Cost - Price'!$L$5:$L$301),"")</f>
        <v>1.1655</v>
      </c>
      <c r="I17" s="204">
        <f t="shared" si="1"/>
        <v>93.24</v>
      </c>
      <c r="J17" s="204">
        <f>IFERROR(_xlfn.XLOOKUP($E17,'Product Cost - Price'!$B$5:$B$301,'Product Cost - Price'!$M$5:$M$301),"")</f>
        <v>5.5E-2</v>
      </c>
      <c r="K17" s="204">
        <f t="shared" si="2"/>
        <v>4.4000000000000004</v>
      </c>
      <c r="L17" s="204">
        <f>IFERROR(_xlfn.XLOOKUP($E17,'Product Cost - Price'!$B$5:$B$301,'Product Cost - Price'!$N$5:$N$301),"")</f>
        <v>0.04</v>
      </c>
      <c r="M17" s="204">
        <f t="shared" si="3"/>
        <v>3.2</v>
      </c>
      <c r="N17" s="204">
        <f>IFERROR(_xlfn.XLOOKUP($E17,'Product Cost - Price'!$B$5:$B$301,'Product Cost - Price'!$O$5:$O$301),"")</f>
        <v>0</v>
      </c>
      <c r="O17" s="204">
        <f t="shared" si="4"/>
        <v>0</v>
      </c>
      <c r="P17" s="204">
        <f>IFERROR(_xlfn.XLOOKUP($E17,'Product Cost - Price'!$B$5:$B$301,'Product Cost - Price'!$P$5:$P$301),"")</f>
        <v>0.6925</v>
      </c>
      <c r="Q17" s="204">
        <f t="shared" si="5"/>
        <v>2.77</v>
      </c>
      <c r="R17" s="204">
        <f>IFERROR(_xlfn.XLOOKUP($E17,'Product Cost - Price'!$B$5:$B$301,'Product Cost - Price'!$Q$5:$Q$301),"")</f>
        <v>1.4583333333333333</v>
      </c>
      <c r="S17" s="204">
        <f t="shared" si="6"/>
        <v>5.833333333333333</v>
      </c>
      <c r="U17" s="204">
        <f t="shared" si="7"/>
        <v>-4.7233333333333292</v>
      </c>
      <c r="V17" s="276">
        <f t="shared" si="8"/>
        <v>-4.5104405398523006E-2</v>
      </c>
    </row>
    <row r="18" spans="1:22" x14ac:dyDescent="0.3">
      <c r="A18" s="278" t="s">
        <v>648</v>
      </c>
      <c r="B18" s="278">
        <v>102</v>
      </c>
      <c r="C18" s="279">
        <v>1696</v>
      </c>
      <c r="E18" s="202">
        <f t="shared" si="0"/>
        <v>383794</v>
      </c>
      <c r="F18" s="203" t="str">
        <f>IFERROR(_xlfn.XLOOKUP($E18,'Product Cost - Price'!$B$5:$B$301,'Product Cost - Price'!$E$5:$E$301),"")</f>
        <v>Standard</v>
      </c>
      <c r="G18" s="203">
        <f>IFERROR(_xlfn.XLOOKUP($E18,'Product Cost - Price'!$B$5:$B$301,'Product Cost - Price'!$G$5:$G$301),"")</f>
        <v>20</v>
      </c>
      <c r="H18" s="204">
        <f>IFERROR(_xlfn.XLOOKUP($E18,'Product Cost - Price'!$B$5:$B$301,'Product Cost - Price'!$L$5:$L$301),"")</f>
        <v>0.47775000000000001</v>
      </c>
      <c r="I18" s="204">
        <f t="shared" si="1"/>
        <v>974.61</v>
      </c>
      <c r="J18" s="204">
        <f>IFERROR(_xlfn.XLOOKUP($E18,'Product Cost - Price'!$B$5:$B$301,'Product Cost - Price'!$M$5:$M$301),"")</f>
        <v>5.5E-2</v>
      </c>
      <c r="K18" s="204">
        <f t="shared" si="2"/>
        <v>112.2</v>
      </c>
      <c r="L18" s="204">
        <f>IFERROR(_xlfn.XLOOKUP($E18,'Product Cost - Price'!$B$5:$B$301,'Product Cost - Price'!$N$5:$N$301),"")</f>
        <v>0.04</v>
      </c>
      <c r="M18" s="204">
        <f t="shared" si="3"/>
        <v>81.600000000000009</v>
      </c>
      <c r="N18" s="204">
        <f>IFERROR(_xlfn.XLOOKUP($E18,'Product Cost - Price'!$B$5:$B$301,'Product Cost - Price'!$O$5:$O$301),"")</f>
        <v>0</v>
      </c>
      <c r="O18" s="204">
        <f t="shared" si="4"/>
        <v>0</v>
      </c>
      <c r="P18" s="204">
        <f>IFERROR(_xlfn.XLOOKUP($E18,'Product Cost - Price'!$B$5:$B$301,'Product Cost - Price'!$P$5:$P$301),"")</f>
        <v>0.6925</v>
      </c>
      <c r="Q18" s="204">
        <f t="shared" si="5"/>
        <v>70.635000000000005</v>
      </c>
      <c r="R18" s="204">
        <f>IFERROR(_xlfn.XLOOKUP($E18,'Product Cost - Price'!$B$5:$B$301,'Product Cost - Price'!$Q$5:$Q$301),"")</f>
        <v>1.4583333333333333</v>
      </c>
      <c r="S18" s="204">
        <f t="shared" si="6"/>
        <v>148.75</v>
      </c>
      <c r="U18" s="204">
        <f t="shared" si="7"/>
        <v>308.20499999999993</v>
      </c>
      <c r="V18" s="276">
        <f t="shared" si="8"/>
        <v>0.18172464622641504</v>
      </c>
    </row>
    <row r="19" spans="1:22" x14ac:dyDescent="0.3">
      <c r="A19" s="278" t="s">
        <v>649</v>
      </c>
      <c r="B19" s="278">
        <v>59</v>
      </c>
      <c r="C19" s="279">
        <v>2288.42</v>
      </c>
      <c r="E19" s="202">
        <f t="shared" si="0"/>
        <v>383795</v>
      </c>
      <c r="F19" s="203" t="str">
        <f>IFERROR(_xlfn.XLOOKUP($E19,'Product Cost - Price'!$B$5:$B$301,'Product Cost - Price'!$E$5:$E$301),"")</f>
        <v>Standard</v>
      </c>
      <c r="G19" s="203">
        <f>IFERROR(_xlfn.XLOOKUP($E19,'Product Cost - Price'!$B$5:$B$301,'Product Cost - Price'!$G$5:$G$301),"")</f>
        <v>20</v>
      </c>
      <c r="H19" s="204">
        <f>IFERROR(_xlfn.XLOOKUP($E19,'Product Cost - Price'!$B$5:$B$301,'Product Cost - Price'!$L$5:$L$301),"")</f>
        <v>1.4742</v>
      </c>
      <c r="I19" s="204">
        <f t="shared" si="1"/>
        <v>1739.5559999999998</v>
      </c>
      <c r="J19" s="204">
        <f>IFERROR(_xlfn.XLOOKUP($E19,'Product Cost - Price'!$B$5:$B$301,'Product Cost - Price'!$M$5:$M$301),"")</f>
        <v>5.5E-2</v>
      </c>
      <c r="K19" s="204">
        <f t="shared" si="2"/>
        <v>64.900000000000006</v>
      </c>
      <c r="L19" s="204">
        <f>IFERROR(_xlfn.XLOOKUP($E19,'Product Cost - Price'!$B$5:$B$301,'Product Cost - Price'!$N$5:$N$301),"")</f>
        <v>0.04</v>
      </c>
      <c r="M19" s="204">
        <f t="shared" si="3"/>
        <v>47.2</v>
      </c>
      <c r="N19" s="204">
        <f>IFERROR(_xlfn.XLOOKUP($E19,'Product Cost - Price'!$B$5:$B$301,'Product Cost - Price'!$O$5:$O$301),"")</f>
        <v>0</v>
      </c>
      <c r="O19" s="204">
        <f t="shared" si="4"/>
        <v>0</v>
      </c>
      <c r="P19" s="204">
        <f>IFERROR(_xlfn.XLOOKUP($E19,'Product Cost - Price'!$B$5:$B$301,'Product Cost - Price'!$P$5:$P$301),"")</f>
        <v>0.6925</v>
      </c>
      <c r="Q19" s="204">
        <f t="shared" si="5"/>
        <v>40.857500000000002</v>
      </c>
      <c r="R19" s="204">
        <f>IFERROR(_xlfn.XLOOKUP($E19,'Product Cost - Price'!$B$5:$B$301,'Product Cost - Price'!$Q$5:$Q$301),"")</f>
        <v>1.4583333333333333</v>
      </c>
      <c r="S19" s="204">
        <f t="shared" si="6"/>
        <v>86.041666666666657</v>
      </c>
      <c r="U19" s="204">
        <f t="shared" si="7"/>
        <v>309.86483333333365</v>
      </c>
      <c r="V19" s="276">
        <f t="shared" si="8"/>
        <v>0.13540557823010357</v>
      </c>
    </row>
    <row r="20" spans="1:22" x14ac:dyDescent="0.3">
      <c r="A20" s="278" t="s">
        <v>650</v>
      </c>
      <c r="B20" s="278">
        <v>3</v>
      </c>
      <c r="C20" s="279">
        <v>83.7</v>
      </c>
      <c r="E20" s="202">
        <f t="shared" si="0"/>
        <v>383797</v>
      </c>
      <c r="F20" s="203" t="str">
        <f>IFERROR(_xlfn.XLOOKUP($E20,'Product Cost - Price'!$B$5:$B$301,'Product Cost - Price'!$E$5:$E$301),"")</f>
        <v>Standard</v>
      </c>
      <c r="G20" s="203">
        <f>IFERROR(_xlfn.XLOOKUP($E20,'Product Cost - Price'!$B$5:$B$301,'Product Cost - Price'!$G$5:$G$301),"")</f>
        <v>20</v>
      </c>
      <c r="H20" s="204">
        <f>IFERROR(_xlfn.XLOOKUP($E20,'Product Cost - Price'!$B$5:$B$301,'Product Cost - Price'!$L$5:$L$301),"")</f>
        <v>0.66300000000000003</v>
      </c>
      <c r="I20" s="204">
        <f t="shared" si="1"/>
        <v>39.78</v>
      </c>
      <c r="J20" s="204">
        <f>IFERROR(_xlfn.XLOOKUP($E20,'Product Cost - Price'!$B$5:$B$301,'Product Cost - Price'!$M$5:$M$301),"")</f>
        <v>5.5E-2</v>
      </c>
      <c r="K20" s="204">
        <f t="shared" si="2"/>
        <v>3.3000000000000003</v>
      </c>
      <c r="L20" s="204">
        <f>IFERROR(_xlfn.XLOOKUP($E20,'Product Cost - Price'!$B$5:$B$301,'Product Cost - Price'!$N$5:$N$301),"")</f>
        <v>0.04</v>
      </c>
      <c r="M20" s="204">
        <f t="shared" si="3"/>
        <v>2.4000000000000004</v>
      </c>
      <c r="N20" s="204">
        <f>IFERROR(_xlfn.XLOOKUP($E20,'Product Cost - Price'!$B$5:$B$301,'Product Cost - Price'!$O$5:$O$301),"")</f>
        <v>0</v>
      </c>
      <c r="O20" s="204">
        <f t="shared" si="4"/>
        <v>0</v>
      </c>
      <c r="P20" s="204">
        <f>IFERROR(_xlfn.XLOOKUP($E20,'Product Cost - Price'!$B$5:$B$301,'Product Cost - Price'!$P$5:$P$301),"")</f>
        <v>0.6925</v>
      </c>
      <c r="Q20" s="204">
        <f t="shared" si="5"/>
        <v>2.0775000000000001</v>
      </c>
      <c r="R20" s="204">
        <f>IFERROR(_xlfn.XLOOKUP($E20,'Product Cost - Price'!$B$5:$B$301,'Product Cost - Price'!$Q$5:$Q$301),"")</f>
        <v>1.4583333333333333</v>
      </c>
      <c r="S20" s="204">
        <f t="shared" si="6"/>
        <v>4.375</v>
      </c>
      <c r="U20" s="204">
        <f t="shared" si="7"/>
        <v>31.767500000000005</v>
      </c>
      <c r="V20" s="276">
        <f t="shared" si="8"/>
        <v>0.37954002389486263</v>
      </c>
    </row>
    <row r="21" spans="1:22" x14ac:dyDescent="0.3">
      <c r="A21" s="278" t="s">
        <v>651</v>
      </c>
      <c r="B21" s="278">
        <v>107</v>
      </c>
      <c r="C21" s="279">
        <v>2438.9</v>
      </c>
      <c r="E21" s="202">
        <f t="shared" si="0"/>
        <v>383798</v>
      </c>
      <c r="F21" s="203" t="str">
        <f>IFERROR(_xlfn.XLOOKUP($E21,'Product Cost - Price'!$B$5:$B$301,'Product Cost - Price'!$E$5:$E$301),"")</f>
        <v>Standard</v>
      </c>
      <c r="G21" s="203">
        <f>IFERROR(_xlfn.XLOOKUP($E21,'Product Cost - Price'!$B$5:$B$301,'Product Cost - Price'!$G$5:$G$301),"")</f>
        <v>20</v>
      </c>
      <c r="H21" s="204">
        <f>IFERROR(_xlfn.XLOOKUP($E21,'Product Cost - Price'!$B$5:$B$301,'Product Cost - Price'!$L$5:$L$301),"")</f>
        <v>0.59160000000000001</v>
      </c>
      <c r="I21" s="204">
        <f t="shared" si="1"/>
        <v>1266.0240000000001</v>
      </c>
      <c r="J21" s="204">
        <f>IFERROR(_xlfn.XLOOKUP($E21,'Product Cost - Price'!$B$5:$B$301,'Product Cost - Price'!$M$5:$M$301),"")</f>
        <v>5.5E-2</v>
      </c>
      <c r="K21" s="204">
        <f t="shared" si="2"/>
        <v>117.7</v>
      </c>
      <c r="L21" s="204">
        <f>IFERROR(_xlfn.XLOOKUP($E21,'Product Cost - Price'!$B$5:$B$301,'Product Cost - Price'!$N$5:$N$301),"")</f>
        <v>0.04</v>
      </c>
      <c r="M21" s="204">
        <f t="shared" si="3"/>
        <v>85.600000000000009</v>
      </c>
      <c r="N21" s="204">
        <f>IFERROR(_xlfn.XLOOKUP($E21,'Product Cost - Price'!$B$5:$B$301,'Product Cost - Price'!$O$5:$O$301),"")</f>
        <v>0</v>
      </c>
      <c r="O21" s="204">
        <f t="shared" si="4"/>
        <v>0</v>
      </c>
      <c r="P21" s="204">
        <f>IFERROR(_xlfn.XLOOKUP($E21,'Product Cost - Price'!$B$5:$B$301,'Product Cost - Price'!$P$5:$P$301),"")</f>
        <v>0.6925</v>
      </c>
      <c r="Q21" s="204">
        <f t="shared" si="5"/>
        <v>74.097499999999997</v>
      </c>
      <c r="R21" s="204">
        <f>IFERROR(_xlfn.XLOOKUP($E21,'Product Cost - Price'!$B$5:$B$301,'Product Cost - Price'!$Q$5:$Q$301),"")</f>
        <v>1.4583333333333333</v>
      </c>
      <c r="S21" s="204">
        <f t="shared" si="6"/>
        <v>156.04166666666666</v>
      </c>
      <c r="U21" s="204">
        <f t="shared" si="7"/>
        <v>739.43683333333331</v>
      </c>
      <c r="V21" s="276">
        <f t="shared" si="8"/>
        <v>0.30318456407943467</v>
      </c>
    </row>
    <row r="22" spans="1:22" x14ac:dyDescent="0.3">
      <c r="A22" s="278" t="s">
        <v>652</v>
      </c>
      <c r="B22" s="278">
        <v>15</v>
      </c>
      <c r="C22" s="279">
        <v>477</v>
      </c>
      <c r="E22" s="202">
        <f t="shared" si="0"/>
        <v>383800</v>
      </c>
      <c r="F22" s="203" t="str">
        <f>IFERROR(_xlfn.XLOOKUP($E22,'Product Cost - Price'!$B$5:$B$301,'Product Cost - Price'!$E$5:$E$301),"")</f>
        <v>Standard</v>
      </c>
      <c r="G22" s="203">
        <f>IFERROR(_xlfn.XLOOKUP($E22,'Product Cost - Price'!$B$5:$B$301,'Product Cost - Price'!$G$5:$G$301),"")</f>
        <v>20</v>
      </c>
      <c r="H22" s="204">
        <f>IFERROR(_xlfn.XLOOKUP($E22,'Product Cost - Price'!$B$5:$B$301,'Product Cost - Price'!$L$5:$L$301),"")</f>
        <v>1.05</v>
      </c>
      <c r="I22" s="204">
        <f t="shared" si="1"/>
        <v>315</v>
      </c>
      <c r="J22" s="204">
        <f>IFERROR(_xlfn.XLOOKUP($E22,'Product Cost - Price'!$B$5:$B$301,'Product Cost - Price'!$M$5:$M$301),"")</f>
        <v>5.5E-2</v>
      </c>
      <c r="K22" s="204">
        <f t="shared" si="2"/>
        <v>16.5</v>
      </c>
      <c r="L22" s="204">
        <f>IFERROR(_xlfn.XLOOKUP($E22,'Product Cost - Price'!$B$5:$B$301,'Product Cost - Price'!$N$5:$N$301),"")</f>
        <v>0.04</v>
      </c>
      <c r="M22" s="204">
        <f t="shared" si="3"/>
        <v>12</v>
      </c>
      <c r="N22" s="204">
        <f>IFERROR(_xlfn.XLOOKUP($E22,'Product Cost - Price'!$B$5:$B$301,'Product Cost - Price'!$O$5:$O$301),"")</f>
        <v>0</v>
      </c>
      <c r="O22" s="204">
        <f t="shared" si="4"/>
        <v>0</v>
      </c>
      <c r="P22" s="204">
        <f>IFERROR(_xlfn.XLOOKUP($E22,'Product Cost - Price'!$B$5:$B$301,'Product Cost - Price'!$P$5:$P$301),"")</f>
        <v>0.6925</v>
      </c>
      <c r="Q22" s="204">
        <f t="shared" si="5"/>
        <v>10.387499999999999</v>
      </c>
      <c r="R22" s="204">
        <f>IFERROR(_xlfn.XLOOKUP($E22,'Product Cost - Price'!$B$5:$B$301,'Product Cost - Price'!$Q$5:$Q$301),"")</f>
        <v>1.4583333333333333</v>
      </c>
      <c r="S22" s="204">
        <f t="shared" si="6"/>
        <v>21.875</v>
      </c>
      <c r="U22" s="204">
        <f t="shared" si="7"/>
        <v>101.2375</v>
      </c>
      <c r="V22" s="276">
        <f t="shared" si="8"/>
        <v>0.21223794549266248</v>
      </c>
    </row>
    <row r="23" spans="1:22" x14ac:dyDescent="0.3">
      <c r="A23" s="278" t="s">
        <v>653</v>
      </c>
      <c r="B23" s="278">
        <v>46</v>
      </c>
      <c r="C23" s="279">
        <v>2646</v>
      </c>
      <c r="E23" s="202">
        <f t="shared" si="0"/>
        <v>383801</v>
      </c>
      <c r="F23" s="203" t="str">
        <f>IFERROR(_xlfn.XLOOKUP($E23,'Product Cost - Price'!$B$5:$B$301,'Product Cost - Price'!$E$5:$E$301),"")</f>
        <v>Standard</v>
      </c>
      <c r="G23" s="203">
        <f>IFERROR(_xlfn.XLOOKUP($E23,'Product Cost - Price'!$B$5:$B$301,'Product Cost - Price'!$G$5:$G$301),"")</f>
        <v>25</v>
      </c>
      <c r="H23" s="204">
        <f>IFERROR(_xlfn.XLOOKUP($E23,'Product Cost - Price'!$B$5:$B$301,'Product Cost - Price'!$L$5:$L$301),"")</f>
        <v>1.582875</v>
      </c>
      <c r="I23" s="204">
        <f t="shared" si="1"/>
        <v>1820.3062499999999</v>
      </c>
      <c r="J23" s="204">
        <f>IFERROR(_xlfn.XLOOKUP($E23,'Product Cost - Price'!$B$5:$B$301,'Product Cost - Price'!$M$5:$M$301),"")</f>
        <v>5.5E-2</v>
      </c>
      <c r="K23" s="204">
        <f t="shared" si="2"/>
        <v>63.25</v>
      </c>
      <c r="L23" s="204">
        <f>IFERROR(_xlfn.XLOOKUP($E23,'Product Cost - Price'!$B$5:$B$301,'Product Cost - Price'!$N$5:$N$301),"")</f>
        <v>0.04</v>
      </c>
      <c r="M23" s="204">
        <f t="shared" si="3"/>
        <v>46</v>
      </c>
      <c r="N23" s="204">
        <f>IFERROR(_xlfn.XLOOKUP($E23,'Product Cost - Price'!$B$5:$B$301,'Product Cost - Price'!$O$5:$O$301),"")</f>
        <v>0</v>
      </c>
      <c r="O23" s="204">
        <f t="shared" si="4"/>
        <v>0</v>
      </c>
      <c r="P23" s="204">
        <f>IFERROR(_xlfn.XLOOKUP($E23,'Product Cost - Price'!$B$5:$B$301,'Product Cost - Price'!$P$5:$P$301),"")</f>
        <v>0.6925</v>
      </c>
      <c r="Q23" s="204">
        <f t="shared" si="5"/>
        <v>31.855</v>
      </c>
      <c r="R23" s="204">
        <f>IFERROR(_xlfn.XLOOKUP($E23,'Product Cost - Price'!$B$5:$B$301,'Product Cost - Price'!$Q$5:$Q$301),"")</f>
        <v>1.4583333333333333</v>
      </c>
      <c r="S23" s="204">
        <f t="shared" si="6"/>
        <v>67.083333333333329</v>
      </c>
      <c r="U23" s="204">
        <f t="shared" si="7"/>
        <v>617.50541666666675</v>
      </c>
      <c r="V23" s="276">
        <f t="shared" si="8"/>
        <v>0.23337317334341146</v>
      </c>
    </row>
    <row r="24" spans="1:22" x14ac:dyDescent="0.3">
      <c r="A24" s="278" t="s">
        <v>654</v>
      </c>
      <c r="B24" s="278">
        <v>147</v>
      </c>
      <c r="C24" s="279">
        <v>4042.5</v>
      </c>
      <c r="E24" s="202">
        <f t="shared" si="0"/>
        <v>383803</v>
      </c>
      <c r="F24" s="203" t="str">
        <f>IFERROR(_xlfn.XLOOKUP($E24,'Product Cost - Price'!$B$5:$B$301,'Product Cost - Price'!$E$5:$E$301),"")</f>
        <v>Standard</v>
      </c>
      <c r="G24" s="203">
        <f>IFERROR(_xlfn.XLOOKUP($E24,'Product Cost - Price'!$B$5:$B$301,'Product Cost - Price'!$G$5:$G$301),"")</f>
        <v>20</v>
      </c>
      <c r="H24" s="204">
        <f>IFERROR(_xlfn.XLOOKUP($E24,'Product Cost - Price'!$B$5:$B$301,'Product Cost - Price'!$L$5:$L$301),"")</f>
        <v>0.75094119980304175</v>
      </c>
      <c r="I24" s="204">
        <f t="shared" si="1"/>
        <v>2207.7671274209429</v>
      </c>
      <c r="J24" s="204">
        <f>IFERROR(_xlfn.XLOOKUP($E24,'Product Cost - Price'!$B$5:$B$301,'Product Cost - Price'!$M$5:$M$301),"")</f>
        <v>5.5E-2</v>
      </c>
      <c r="K24" s="204">
        <f t="shared" si="2"/>
        <v>161.70000000000002</v>
      </c>
      <c r="L24" s="204">
        <f>IFERROR(_xlfn.XLOOKUP($E24,'Product Cost - Price'!$B$5:$B$301,'Product Cost - Price'!$N$5:$N$301),"")</f>
        <v>0.08</v>
      </c>
      <c r="M24" s="204">
        <f t="shared" si="3"/>
        <v>235.20000000000002</v>
      </c>
      <c r="N24" s="204">
        <f>IFERROR(_xlfn.XLOOKUP($E24,'Product Cost - Price'!$B$5:$B$301,'Product Cost - Price'!$O$5:$O$301),"")</f>
        <v>0</v>
      </c>
      <c r="O24" s="204">
        <f t="shared" si="4"/>
        <v>0</v>
      </c>
      <c r="P24" s="204">
        <f>IFERROR(_xlfn.XLOOKUP($E24,'Product Cost - Price'!$B$5:$B$301,'Product Cost - Price'!$P$5:$P$301),"")</f>
        <v>0.6925</v>
      </c>
      <c r="Q24" s="204">
        <f t="shared" si="5"/>
        <v>101.7975</v>
      </c>
      <c r="R24" s="204">
        <f>IFERROR(_xlfn.XLOOKUP($E24,'Product Cost - Price'!$B$5:$B$301,'Product Cost - Price'!$Q$5:$Q$301),"")</f>
        <v>1.4583333333333333</v>
      </c>
      <c r="S24" s="204">
        <f t="shared" si="6"/>
        <v>214.375</v>
      </c>
      <c r="U24" s="204">
        <f t="shared" si="7"/>
        <v>1121.6603725790571</v>
      </c>
      <c r="V24" s="276">
        <f t="shared" si="8"/>
        <v>0.2774670062038484</v>
      </c>
    </row>
    <row r="25" spans="1:22" x14ac:dyDescent="0.3">
      <c r="A25" s="278" t="s">
        <v>655</v>
      </c>
      <c r="B25" s="278">
        <v>62</v>
      </c>
      <c r="C25" s="279">
        <v>1401.2</v>
      </c>
      <c r="E25" s="202">
        <f t="shared" si="0"/>
        <v>383804</v>
      </c>
      <c r="F25" s="203" t="str">
        <f>IFERROR(_xlfn.XLOOKUP($E25,'Product Cost - Price'!$B$5:$B$301,'Product Cost - Price'!$E$5:$E$301),"")</f>
        <v>Standard</v>
      </c>
      <c r="G25" s="203">
        <f>IFERROR(_xlfn.XLOOKUP($E25,'Product Cost - Price'!$B$5:$B$301,'Product Cost - Price'!$G$5:$G$301),"")</f>
        <v>20</v>
      </c>
      <c r="H25" s="204">
        <f>IFERROR(_xlfn.XLOOKUP($E25,'Product Cost - Price'!$B$5:$B$301,'Product Cost - Price'!$L$5:$L$301),"")</f>
        <v>0.58055038461538455</v>
      </c>
      <c r="I25" s="204">
        <f t="shared" si="1"/>
        <v>719.88247692307687</v>
      </c>
      <c r="J25" s="204">
        <f>IFERROR(_xlfn.XLOOKUP($E25,'Product Cost - Price'!$B$5:$B$301,'Product Cost - Price'!$M$5:$M$301),"")</f>
        <v>5.5E-2</v>
      </c>
      <c r="K25" s="204">
        <f t="shared" si="2"/>
        <v>68.2</v>
      </c>
      <c r="L25" s="204">
        <f>IFERROR(_xlfn.XLOOKUP($E25,'Product Cost - Price'!$B$5:$B$301,'Product Cost - Price'!$N$5:$N$301),"")</f>
        <v>0.08</v>
      </c>
      <c r="M25" s="204">
        <f t="shared" si="3"/>
        <v>99.2</v>
      </c>
      <c r="N25" s="204">
        <f>IFERROR(_xlfn.XLOOKUP($E25,'Product Cost - Price'!$B$5:$B$301,'Product Cost - Price'!$O$5:$O$301),"")</f>
        <v>0</v>
      </c>
      <c r="O25" s="204">
        <f t="shared" si="4"/>
        <v>0</v>
      </c>
      <c r="P25" s="204">
        <f>IFERROR(_xlfn.XLOOKUP($E25,'Product Cost - Price'!$B$5:$B$301,'Product Cost - Price'!$P$5:$P$301),"")</f>
        <v>0.6925</v>
      </c>
      <c r="Q25" s="204">
        <f t="shared" si="5"/>
        <v>42.935000000000002</v>
      </c>
      <c r="R25" s="204">
        <f>IFERROR(_xlfn.XLOOKUP($E25,'Product Cost - Price'!$B$5:$B$301,'Product Cost - Price'!$Q$5:$Q$301),"")</f>
        <v>1.4583333333333333</v>
      </c>
      <c r="S25" s="204">
        <f t="shared" si="6"/>
        <v>90.416666666666657</v>
      </c>
      <c r="U25" s="204">
        <f t="shared" si="7"/>
        <v>380.5658564102564</v>
      </c>
      <c r="V25" s="276">
        <f t="shared" si="8"/>
        <v>0.27159995461765374</v>
      </c>
    </row>
    <row r="26" spans="1:22" ht="15.75" customHeight="1" x14ac:dyDescent="0.3">
      <c r="A26" s="278" t="s">
        <v>656</v>
      </c>
      <c r="B26" s="278">
        <v>7</v>
      </c>
      <c r="C26" s="279">
        <v>149.80000000000001</v>
      </c>
      <c r="E26" s="202">
        <f t="shared" si="0"/>
        <v>383805</v>
      </c>
      <c r="F26" s="203" t="str">
        <f>IFERROR(_xlfn.XLOOKUP($E26,'Product Cost - Price'!$B$5:$B$301,'Product Cost - Price'!$E$5:$E$301),"")</f>
        <v>Standard</v>
      </c>
      <c r="G26" s="203">
        <f>IFERROR(_xlfn.XLOOKUP($E26,'Product Cost - Price'!$B$5:$B$301,'Product Cost - Price'!$G$5:$G$301),"")</f>
        <v>20</v>
      </c>
      <c r="H26" s="204">
        <f>IFERROR(_xlfn.XLOOKUP($E26,'Product Cost - Price'!$B$5:$B$301,'Product Cost - Price'!$L$5:$L$301),"")</f>
        <v>0.52972692307692304</v>
      </c>
      <c r="I26" s="204">
        <f t="shared" si="1"/>
        <v>74.161769230769224</v>
      </c>
      <c r="J26" s="204">
        <f>IFERROR(_xlfn.XLOOKUP($E26,'Product Cost - Price'!$B$5:$B$301,'Product Cost - Price'!$M$5:$M$301),"")</f>
        <v>5.5E-2</v>
      </c>
      <c r="K26" s="204">
        <f t="shared" si="2"/>
        <v>7.7000000000000011</v>
      </c>
      <c r="L26" s="204">
        <f>IFERROR(_xlfn.XLOOKUP($E26,'Product Cost - Price'!$B$5:$B$301,'Product Cost - Price'!$N$5:$N$301),"")</f>
        <v>0.08</v>
      </c>
      <c r="M26" s="204">
        <f t="shared" si="3"/>
        <v>11.200000000000001</v>
      </c>
      <c r="N26" s="204">
        <f>IFERROR(_xlfn.XLOOKUP($E26,'Product Cost - Price'!$B$5:$B$301,'Product Cost - Price'!$O$5:$O$301),"")</f>
        <v>0</v>
      </c>
      <c r="O26" s="204">
        <f t="shared" si="4"/>
        <v>0</v>
      </c>
      <c r="P26" s="204">
        <f>IFERROR(_xlfn.XLOOKUP($E26,'Product Cost - Price'!$B$5:$B$301,'Product Cost - Price'!$P$5:$P$301),"")</f>
        <v>0.6925</v>
      </c>
      <c r="Q26" s="204">
        <f t="shared" si="5"/>
        <v>4.8475000000000001</v>
      </c>
      <c r="R26" s="204">
        <f>IFERROR(_xlfn.XLOOKUP($E26,'Product Cost - Price'!$B$5:$B$301,'Product Cost - Price'!$Q$5:$Q$301),"")</f>
        <v>1.4583333333333333</v>
      </c>
      <c r="S26" s="204">
        <f t="shared" si="6"/>
        <v>10.208333333333332</v>
      </c>
      <c r="U26" s="204">
        <f t="shared" si="7"/>
        <v>41.682397435897457</v>
      </c>
      <c r="V26" s="276">
        <f t="shared" si="8"/>
        <v>0.27825365444524336</v>
      </c>
    </row>
    <row r="27" spans="1:22" ht="15.75" customHeight="1" x14ac:dyDescent="0.3">
      <c r="A27" s="278" t="s">
        <v>657</v>
      </c>
      <c r="B27" s="278">
        <v>57</v>
      </c>
      <c r="C27" s="279">
        <v>1373.7</v>
      </c>
      <c r="E27" s="202">
        <f t="shared" si="0"/>
        <v>383806</v>
      </c>
      <c r="F27" s="203" t="str">
        <f>IFERROR(_xlfn.XLOOKUP($E27,'Product Cost - Price'!$B$5:$B$301,'Product Cost - Price'!$E$5:$E$301),"")</f>
        <v>Standard</v>
      </c>
      <c r="G27" s="203">
        <f>IFERROR(_xlfn.XLOOKUP($E27,'Product Cost - Price'!$B$5:$B$301,'Product Cost - Price'!$G$5:$G$301),"")</f>
        <v>20</v>
      </c>
      <c r="H27" s="204">
        <f>IFERROR(_xlfn.XLOOKUP($E27,'Product Cost - Price'!$B$5:$B$301,'Product Cost - Price'!$L$5:$L$301),"")</f>
        <v>0.63640151515151522</v>
      </c>
      <c r="I27" s="204">
        <f t="shared" si="1"/>
        <v>725.49772727272739</v>
      </c>
      <c r="J27" s="204">
        <f>IFERROR(_xlfn.XLOOKUP($E27,'Product Cost - Price'!$B$5:$B$301,'Product Cost - Price'!$M$5:$M$301),"")</f>
        <v>5.5E-2</v>
      </c>
      <c r="K27" s="204">
        <f t="shared" si="2"/>
        <v>62.7</v>
      </c>
      <c r="L27" s="204">
        <f>IFERROR(_xlfn.XLOOKUP($E27,'Product Cost - Price'!$B$5:$B$301,'Product Cost - Price'!$N$5:$N$301),"")</f>
        <v>0.08</v>
      </c>
      <c r="M27" s="204">
        <f t="shared" si="3"/>
        <v>91.2</v>
      </c>
      <c r="N27" s="204">
        <f>IFERROR(_xlfn.XLOOKUP($E27,'Product Cost - Price'!$B$5:$B$301,'Product Cost - Price'!$O$5:$O$301),"")</f>
        <v>0</v>
      </c>
      <c r="O27" s="204">
        <f t="shared" si="4"/>
        <v>0</v>
      </c>
      <c r="P27" s="204">
        <f>IFERROR(_xlfn.XLOOKUP($E27,'Product Cost - Price'!$B$5:$B$301,'Product Cost - Price'!$P$5:$P$301),"")</f>
        <v>0.6925</v>
      </c>
      <c r="Q27" s="204">
        <f t="shared" si="5"/>
        <v>39.472500000000004</v>
      </c>
      <c r="R27" s="204">
        <f>IFERROR(_xlfn.XLOOKUP($E27,'Product Cost - Price'!$B$5:$B$301,'Product Cost - Price'!$Q$5:$Q$301),"")</f>
        <v>1.4583333333333333</v>
      </c>
      <c r="S27" s="204">
        <f t="shared" si="6"/>
        <v>83.125</v>
      </c>
      <c r="U27" s="204">
        <f t="shared" si="7"/>
        <v>371.7047727272726</v>
      </c>
      <c r="V27" s="276">
        <f t="shared" si="8"/>
        <v>0.2705865711052432</v>
      </c>
    </row>
    <row r="28" spans="1:22" x14ac:dyDescent="0.3">
      <c r="A28" s="278" t="s">
        <v>658</v>
      </c>
      <c r="B28" s="278">
        <v>18</v>
      </c>
      <c r="C28" s="279">
        <v>478.8</v>
      </c>
      <c r="E28" s="202">
        <f t="shared" si="0"/>
        <v>383807</v>
      </c>
      <c r="F28" s="203" t="str">
        <f>IFERROR(_xlfn.XLOOKUP($E28,'Product Cost - Price'!$B$5:$B$301,'Product Cost - Price'!$E$5:$E$301),"")</f>
        <v>Standard</v>
      </c>
      <c r="G28" s="203">
        <f>IFERROR(_xlfn.XLOOKUP($E28,'Product Cost - Price'!$B$5:$B$301,'Product Cost - Price'!$G$5:$G$301),"")</f>
        <v>20</v>
      </c>
      <c r="H28" s="204">
        <f>IFERROR(_xlfn.XLOOKUP($E28,'Product Cost - Price'!$B$5:$B$301,'Product Cost - Price'!$L$5:$L$301),"")</f>
        <v>0.71993451776649731</v>
      </c>
      <c r="I28" s="204">
        <f t="shared" si="1"/>
        <v>259.17642639593907</v>
      </c>
      <c r="J28" s="204">
        <f>IFERROR(_xlfn.XLOOKUP($E28,'Product Cost - Price'!$B$5:$B$301,'Product Cost - Price'!$M$5:$M$301),"")</f>
        <v>5.5E-2</v>
      </c>
      <c r="K28" s="204">
        <f t="shared" si="2"/>
        <v>19.8</v>
      </c>
      <c r="L28" s="204">
        <f>IFERROR(_xlfn.XLOOKUP($E28,'Product Cost - Price'!$B$5:$B$301,'Product Cost - Price'!$N$5:$N$301),"")</f>
        <v>0.08</v>
      </c>
      <c r="M28" s="204">
        <f t="shared" si="3"/>
        <v>28.8</v>
      </c>
      <c r="N28" s="204">
        <f>IFERROR(_xlfn.XLOOKUP($E28,'Product Cost - Price'!$B$5:$B$301,'Product Cost - Price'!$O$5:$O$301),"")</f>
        <v>0</v>
      </c>
      <c r="O28" s="204">
        <f t="shared" si="4"/>
        <v>0</v>
      </c>
      <c r="P28" s="204">
        <f>IFERROR(_xlfn.XLOOKUP($E28,'Product Cost - Price'!$B$5:$B$301,'Product Cost - Price'!$P$5:$P$301),"")</f>
        <v>0.6925</v>
      </c>
      <c r="Q28" s="204">
        <f t="shared" si="5"/>
        <v>12.465</v>
      </c>
      <c r="R28" s="204">
        <f>IFERROR(_xlfn.XLOOKUP($E28,'Product Cost - Price'!$B$5:$B$301,'Product Cost - Price'!$Q$5:$Q$301),"")</f>
        <v>1.4583333333333333</v>
      </c>
      <c r="S28" s="204">
        <f t="shared" si="6"/>
        <v>26.25</v>
      </c>
      <c r="U28" s="204">
        <f t="shared" si="7"/>
        <v>132.30857360406091</v>
      </c>
      <c r="V28" s="276">
        <f t="shared" si="8"/>
        <v>0.27633369591491419</v>
      </c>
    </row>
    <row r="29" spans="1:22" x14ac:dyDescent="0.3">
      <c r="A29" s="278" t="s">
        <v>659</v>
      </c>
      <c r="B29" s="278">
        <v>29</v>
      </c>
      <c r="C29" s="279">
        <v>817.8</v>
      </c>
      <c r="E29" s="202">
        <f t="shared" si="0"/>
        <v>383808</v>
      </c>
      <c r="F29" s="203" t="str">
        <f>IFERROR(_xlfn.XLOOKUP($E29,'Product Cost - Price'!$B$5:$B$301,'Product Cost - Price'!$E$5:$E$301),"")</f>
        <v>Standard</v>
      </c>
      <c r="G29" s="203">
        <f>IFERROR(_xlfn.XLOOKUP($E29,'Product Cost - Price'!$B$5:$B$301,'Product Cost - Price'!$G$5:$G$301),"")</f>
        <v>20</v>
      </c>
      <c r="H29" s="204">
        <f>IFERROR(_xlfn.XLOOKUP($E29,'Product Cost - Price'!$B$5:$B$301,'Product Cost - Price'!$L$5:$L$301),"")</f>
        <v>0.77047262499999991</v>
      </c>
      <c r="I29" s="204">
        <f t="shared" si="1"/>
        <v>446.87412249999994</v>
      </c>
      <c r="J29" s="204">
        <f>IFERROR(_xlfn.XLOOKUP($E29,'Product Cost - Price'!$B$5:$B$301,'Product Cost - Price'!$M$5:$M$301),"")</f>
        <v>5.5E-2</v>
      </c>
      <c r="K29" s="204">
        <f t="shared" si="2"/>
        <v>31.900000000000002</v>
      </c>
      <c r="L29" s="204">
        <f>IFERROR(_xlfn.XLOOKUP($E29,'Product Cost - Price'!$B$5:$B$301,'Product Cost - Price'!$N$5:$N$301),"")</f>
        <v>0.08</v>
      </c>
      <c r="M29" s="204">
        <f t="shared" si="3"/>
        <v>46.400000000000006</v>
      </c>
      <c r="N29" s="204">
        <f>IFERROR(_xlfn.XLOOKUP($E29,'Product Cost - Price'!$B$5:$B$301,'Product Cost - Price'!$O$5:$O$301),"")</f>
        <v>0</v>
      </c>
      <c r="O29" s="204">
        <f t="shared" si="4"/>
        <v>0</v>
      </c>
      <c r="P29" s="204">
        <f>IFERROR(_xlfn.XLOOKUP($E29,'Product Cost - Price'!$B$5:$B$301,'Product Cost - Price'!$P$5:$P$301),"")</f>
        <v>0.6925</v>
      </c>
      <c r="Q29" s="204">
        <f t="shared" si="5"/>
        <v>20.0825</v>
      </c>
      <c r="R29" s="204">
        <f>IFERROR(_xlfn.XLOOKUP($E29,'Product Cost - Price'!$B$5:$B$301,'Product Cost - Price'!$Q$5:$Q$301),"")</f>
        <v>1.4583333333333333</v>
      </c>
      <c r="S29" s="204">
        <f t="shared" si="6"/>
        <v>42.291666666666664</v>
      </c>
      <c r="U29" s="204">
        <f t="shared" si="7"/>
        <v>230.25171083333336</v>
      </c>
      <c r="V29" s="276">
        <f t="shared" si="8"/>
        <v>0.28155014775413717</v>
      </c>
    </row>
    <row r="30" spans="1:22" x14ac:dyDescent="0.3">
      <c r="A30" s="278" t="s">
        <v>660</v>
      </c>
      <c r="B30" s="278">
        <v>35</v>
      </c>
      <c r="C30" s="279">
        <v>766.5</v>
      </c>
      <c r="E30" s="202">
        <f t="shared" si="0"/>
        <v>383809</v>
      </c>
      <c r="F30" s="203" t="str">
        <f>IFERROR(_xlfn.XLOOKUP($E30,'Product Cost - Price'!$B$5:$B$301,'Product Cost - Price'!$E$5:$E$301),"")</f>
        <v>Standard</v>
      </c>
      <c r="G30" s="203">
        <f>IFERROR(_xlfn.XLOOKUP($E30,'Product Cost - Price'!$B$5:$B$301,'Product Cost - Price'!$G$5:$G$301),"")</f>
        <v>20</v>
      </c>
      <c r="H30" s="204">
        <f>IFERROR(_xlfn.XLOOKUP($E30,'Product Cost - Price'!$B$5:$B$301,'Product Cost - Price'!$L$5:$L$301),"")</f>
        <v>0.55943999999999994</v>
      </c>
      <c r="I30" s="204">
        <f t="shared" si="1"/>
        <v>391.60799999999995</v>
      </c>
      <c r="J30" s="204">
        <f>IFERROR(_xlfn.XLOOKUP($E30,'Product Cost - Price'!$B$5:$B$301,'Product Cost - Price'!$M$5:$M$301),"")</f>
        <v>5.5E-2</v>
      </c>
      <c r="K30" s="204">
        <f t="shared" si="2"/>
        <v>38.5</v>
      </c>
      <c r="L30" s="204">
        <f>IFERROR(_xlfn.XLOOKUP($E30,'Product Cost - Price'!$B$5:$B$301,'Product Cost - Price'!$N$5:$N$301),"")</f>
        <v>0.08</v>
      </c>
      <c r="M30" s="204">
        <f t="shared" si="3"/>
        <v>56</v>
      </c>
      <c r="N30" s="204">
        <f>IFERROR(_xlfn.XLOOKUP($E30,'Product Cost - Price'!$B$5:$B$301,'Product Cost - Price'!$O$5:$O$301),"")</f>
        <v>0</v>
      </c>
      <c r="O30" s="204">
        <f t="shared" si="4"/>
        <v>0</v>
      </c>
      <c r="P30" s="204">
        <f>IFERROR(_xlfn.XLOOKUP($E30,'Product Cost - Price'!$B$5:$B$301,'Product Cost - Price'!$P$5:$P$301),"")</f>
        <v>0.6925</v>
      </c>
      <c r="Q30" s="204">
        <f t="shared" si="5"/>
        <v>24.237500000000001</v>
      </c>
      <c r="R30" s="204">
        <f>IFERROR(_xlfn.XLOOKUP($E30,'Product Cost - Price'!$B$5:$B$301,'Product Cost - Price'!$Q$5:$Q$301),"")</f>
        <v>1.4583333333333333</v>
      </c>
      <c r="S30" s="204">
        <f t="shared" si="6"/>
        <v>51.041666666666664</v>
      </c>
      <c r="U30" s="204">
        <f t="shared" si="7"/>
        <v>205.11283333333338</v>
      </c>
      <c r="V30" s="276">
        <f t="shared" si="8"/>
        <v>0.26759665144596656</v>
      </c>
    </row>
    <row r="31" spans="1:22" x14ac:dyDescent="0.3">
      <c r="A31" s="278" t="s">
        <v>661</v>
      </c>
      <c r="B31" s="278">
        <v>150</v>
      </c>
      <c r="C31" s="279">
        <v>3732</v>
      </c>
      <c r="E31" s="202">
        <f t="shared" si="0"/>
        <v>383810</v>
      </c>
      <c r="F31" s="203" t="str">
        <f>IFERROR(_xlfn.XLOOKUP($E31,'Product Cost - Price'!$B$5:$B$301,'Product Cost - Price'!$E$5:$E$301),"")</f>
        <v>Standard</v>
      </c>
      <c r="G31" s="203">
        <f>IFERROR(_xlfn.XLOOKUP($E31,'Product Cost - Price'!$B$5:$B$301,'Product Cost - Price'!$G$5:$G$301),"")</f>
        <v>20</v>
      </c>
      <c r="H31" s="204">
        <f>IFERROR(_xlfn.XLOOKUP($E31,'Product Cost - Price'!$B$5:$B$301,'Product Cost - Price'!$L$5:$L$301),"")</f>
        <v>0.65252599009900991</v>
      </c>
      <c r="I31" s="204">
        <f t="shared" si="1"/>
        <v>1957.5779702970297</v>
      </c>
      <c r="J31" s="204">
        <f>IFERROR(_xlfn.XLOOKUP($E31,'Product Cost - Price'!$B$5:$B$301,'Product Cost - Price'!$M$5:$M$301),"")</f>
        <v>5.5E-2</v>
      </c>
      <c r="K31" s="204">
        <f t="shared" si="2"/>
        <v>165</v>
      </c>
      <c r="L31" s="204">
        <f>IFERROR(_xlfn.XLOOKUP($E31,'Product Cost - Price'!$B$5:$B$301,'Product Cost - Price'!$N$5:$N$301),"")</f>
        <v>0.08</v>
      </c>
      <c r="M31" s="204">
        <f t="shared" si="3"/>
        <v>240</v>
      </c>
      <c r="N31" s="204">
        <f>IFERROR(_xlfn.XLOOKUP($E31,'Product Cost - Price'!$B$5:$B$301,'Product Cost - Price'!$O$5:$O$301),"")</f>
        <v>0</v>
      </c>
      <c r="O31" s="204">
        <f t="shared" si="4"/>
        <v>0</v>
      </c>
      <c r="P31" s="204">
        <f>IFERROR(_xlfn.XLOOKUP($E31,'Product Cost - Price'!$B$5:$B$301,'Product Cost - Price'!$P$5:$P$301),"")</f>
        <v>0.6925</v>
      </c>
      <c r="Q31" s="204">
        <f t="shared" si="5"/>
        <v>103.875</v>
      </c>
      <c r="R31" s="204">
        <f>IFERROR(_xlfn.XLOOKUP($E31,'Product Cost - Price'!$B$5:$B$301,'Product Cost - Price'!$Q$5:$Q$301),"")</f>
        <v>1.4583333333333333</v>
      </c>
      <c r="S31" s="204">
        <f t="shared" si="6"/>
        <v>218.75</v>
      </c>
      <c r="U31" s="204">
        <f t="shared" si="7"/>
        <v>1046.7970297029703</v>
      </c>
      <c r="V31" s="276">
        <f t="shared" si="8"/>
        <v>0.28049223732662659</v>
      </c>
    </row>
    <row r="32" spans="1:22" x14ac:dyDescent="0.3">
      <c r="A32" s="278" t="s">
        <v>662</v>
      </c>
      <c r="B32" s="278">
        <v>76</v>
      </c>
      <c r="C32" s="279">
        <v>2005</v>
      </c>
      <c r="E32" s="202">
        <f t="shared" si="0"/>
        <v>383811</v>
      </c>
      <c r="F32" s="203" t="str">
        <f>IFERROR(_xlfn.XLOOKUP($E32,'Product Cost - Price'!$B$5:$B$301,'Product Cost - Price'!$E$5:$E$301),"")</f>
        <v>Standard</v>
      </c>
      <c r="G32" s="203">
        <f>IFERROR(_xlfn.XLOOKUP($E32,'Product Cost - Price'!$B$5:$B$301,'Product Cost - Price'!$G$5:$G$301),"")</f>
        <v>20</v>
      </c>
      <c r="H32" s="204">
        <f>IFERROR(_xlfn.XLOOKUP($E32,'Product Cost - Price'!$B$5:$B$301,'Product Cost - Price'!$L$5:$L$301),"")</f>
        <v>0.70190717821782178</v>
      </c>
      <c r="I32" s="204">
        <f t="shared" si="1"/>
        <v>1066.8989108910891</v>
      </c>
      <c r="J32" s="204">
        <f>IFERROR(_xlfn.XLOOKUP($E32,'Product Cost - Price'!$B$5:$B$301,'Product Cost - Price'!$M$5:$M$301),"")</f>
        <v>5.5E-2</v>
      </c>
      <c r="K32" s="204">
        <f t="shared" si="2"/>
        <v>83.600000000000009</v>
      </c>
      <c r="L32" s="204">
        <f>IFERROR(_xlfn.XLOOKUP($E32,'Product Cost - Price'!$B$5:$B$301,'Product Cost - Price'!$N$5:$N$301),"")</f>
        <v>0.08</v>
      </c>
      <c r="M32" s="204">
        <f t="shared" si="3"/>
        <v>121.60000000000001</v>
      </c>
      <c r="N32" s="204">
        <f>IFERROR(_xlfn.XLOOKUP($E32,'Product Cost - Price'!$B$5:$B$301,'Product Cost - Price'!$O$5:$O$301),"")</f>
        <v>0</v>
      </c>
      <c r="O32" s="204">
        <f t="shared" si="4"/>
        <v>0</v>
      </c>
      <c r="P32" s="204">
        <f>IFERROR(_xlfn.XLOOKUP($E32,'Product Cost - Price'!$B$5:$B$301,'Product Cost - Price'!$P$5:$P$301),"")</f>
        <v>0.6925</v>
      </c>
      <c r="Q32" s="204">
        <f t="shared" si="5"/>
        <v>52.63</v>
      </c>
      <c r="R32" s="204">
        <f>IFERROR(_xlfn.XLOOKUP($E32,'Product Cost - Price'!$B$5:$B$301,'Product Cost - Price'!$Q$5:$Q$301),"")</f>
        <v>1.4583333333333333</v>
      </c>
      <c r="S32" s="204">
        <f t="shared" si="6"/>
        <v>110.83333333333333</v>
      </c>
      <c r="U32" s="204">
        <f t="shared" si="7"/>
        <v>569.43775577557744</v>
      </c>
      <c r="V32" s="276">
        <f t="shared" si="8"/>
        <v>0.28400885574841767</v>
      </c>
    </row>
    <row r="33" spans="1:22" x14ac:dyDescent="0.3">
      <c r="A33" s="278" t="s">
        <v>663</v>
      </c>
      <c r="B33" s="278">
        <v>34</v>
      </c>
      <c r="C33" s="279">
        <v>992.8</v>
      </c>
      <c r="E33" s="202">
        <f t="shared" si="0"/>
        <v>383812</v>
      </c>
      <c r="F33" s="203" t="str">
        <f>IFERROR(_xlfn.XLOOKUP($E33,'Product Cost - Price'!$B$5:$B$301,'Product Cost - Price'!$E$5:$E$301),"")</f>
        <v>Standard</v>
      </c>
      <c r="G33" s="203">
        <f>IFERROR(_xlfn.XLOOKUP($E33,'Product Cost - Price'!$B$5:$B$301,'Product Cost - Price'!$G$5:$G$301),"")</f>
        <v>20</v>
      </c>
      <c r="H33" s="204">
        <f>IFERROR(_xlfn.XLOOKUP($E33,'Product Cost - Price'!$B$5:$B$301,'Product Cost - Price'!$L$5:$L$301),"")</f>
        <v>0.80609458128078815</v>
      </c>
      <c r="I33" s="204">
        <f t="shared" si="1"/>
        <v>548.14431527093598</v>
      </c>
      <c r="J33" s="204">
        <f>IFERROR(_xlfn.XLOOKUP($E33,'Product Cost - Price'!$B$5:$B$301,'Product Cost - Price'!$M$5:$M$301),"")</f>
        <v>5.5E-2</v>
      </c>
      <c r="K33" s="204">
        <f t="shared" si="2"/>
        <v>37.400000000000006</v>
      </c>
      <c r="L33" s="204">
        <f>IFERROR(_xlfn.XLOOKUP($E33,'Product Cost - Price'!$B$5:$B$301,'Product Cost - Price'!$N$5:$N$301),"")</f>
        <v>0.08</v>
      </c>
      <c r="M33" s="204">
        <f t="shared" si="3"/>
        <v>54.400000000000006</v>
      </c>
      <c r="N33" s="204">
        <f>IFERROR(_xlfn.XLOOKUP($E33,'Product Cost - Price'!$B$5:$B$301,'Product Cost - Price'!$O$5:$O$301),"")</f>
        <v>0</v>
      </c>
      <c r="O33" s="204">
        <f t="shared" si="4"/>
        <v>0</v>
      </c>
      <c r="P33" s="204">
        <f>IFERROR(_xlfn.XLOOKUP($E33,'Product Cost - Price'!$B$5:$B$301,'Product Cost - Price'!$P$5:$P$301),"")</f>
        <v>0.6925</v>
      </c>
      <c r="Q33" s="204">
        <f t="shared" si="5"/>
        <v>23.545000000000002</v>
      </c>
      <c r="R33" s="204">
        <f>IFERROR(_xlfn.XLOOKUP($E33,'Product Cost - Price'!$B$5:$B$301,'Product Cost - Price'!$Q$5:$Q$301),"")</f>
        <v>1.4583333333333333</v>
      </c>
      <c r="S33" s="204">
        <f t="shared" si="6"/>
        <v>49.583333333333329</v>
      </c>
      <c r="U33" s="204">
        <f t="shared" si="7"/>
        <v>279.72735139573069</v>
      </c>
      <c r="V33" s="276">
        <f t="shared" si="8"/>
        <v>0.28175599455653777</v>
      </c>
    </row>
    <row r="34" spans="1:22" x14ac:dyDescent="0.3">
      <c r="A34" s="278" t="s">
        <v>664</v>
      </c>
      <c r="B34" s="278">
        <v>21</v>
      </c>
      <c r="C34" s="279">
        <v>774.9</v>
      </c>
      <c r="E34" s="202">
        <f t="shared" si="0"/>
        <v>383813</v>
      </c>
      <c r="F34" s="203" t="str">
        <f>IFERROR(_xlfn.XLOOKUP($E34,'Product Cost - Price'!$B$5:$B$301,'Product Cost - Price'!$E$5:$E$301),"")</f>
        <v>Standard</v>
      </c>
      <c r="G34" s="203">
        <f>IFERROR(_xlfn.XLOOKUP($E34,'Product Cost - Price'!$B$5:$B$301,'Product Cost - Price'!$G$5:$G$301),"")</f>
        <v>20</v>
      </c>
      <c r="H34" s="204">
        <f>IFERROR(_xlfn.XLOOKUP($E34,'Product Cost - Price'!$B$5:$B$301,'Product Cost - Price'!$L$5:$L$301),"")</f>
        <v>1.0713972602739728</v>
      </c>
      <c r="I34" s="204">
        <f t="shared" si="1"/>
        <v>449.98684931506853</v>
      </c>
      <c r="J34" s="204">
        <f>IFERROR(_xlfn.XLOOKUP($E34,'Product Cost - Price'!$B$5:$B$301,'Product Cost - Price'!$M$5:$M$301),"")</f>
        <v>5.5E-2</v>
      </c>
      <c r="K34" s="204">
        <f t="shared" si="2"/>
        <v>23.1</v>
      </c>
      <c r="L34" s="204">
        <f>IFERROR(_xlfn.XLOOKUP($E34,'Product Cost - Price'!$B$5:$B$301,'Product Cost - Price'!$N$5:$N$301),"")</f>
        <v>0.08</v>
      </c>
      <c r="M34" s="204">
        <f t="shared" si="3"/>
        <v>33.6</v>
      </c>
      <c r="N34" s="204">
        <f>IFERROR(_xlfn.XLOOKUP($E34,'Product Cost - Price'!$B$5:$B$301,'Product Cost - Price'!$O$5:$O$301),"")</f>
        <v>0</v>
      </c>
      <c r="O34" s="204">
        <f t="shared" si="4"/>
        <v>0</v>
      </c>
      <c r="P34" s="204">
        <f>IFERROR(_xlfn.XLOOKUP($E34,'Product Cost - Price'!$B$5:$B$301,'Product Cost - Price'!$P$5:$P$301),"")</f>
        <v>0.6925</v>
      </c>
      <c r="Q34" s="204">
        <f t="shared" si="5"/>
        <v>14.5425</v>
      </c>
      <c r="R34" s="204">
        <f>IFERROR(_xlfn.XLOOKUP($E34,'Product Cost - Price'!$B$5:$B$301,'Product Cost - Price'!$Q$5:$Q$301),"")</f>
        <v>1.4583333333333333</v>
      </c>
      <c r="S34" s="204">
        <f t="shared" si="6"/>
        <v>30.625</v>
      </c>
      <c r="U34" s="204">
        <f t="shared" si="7"/>
        <v>223.04565068493142</v>
      </c>
      <c r="V34" s="276">
        <f t="shared" si="8"/>
        <v>0.28783797997797317</v>
      </c>
    </row>
    <row r="35" spans="1:22" x14ac:dyDescent="0.3">
      <c r="A35" s="278" t="s">
        <v>665</v>
      </c>
      <c r="B35" s="278">
        <v>376</v>
      </c>
      <c r="C35" s="279">
        <v>5414.4</v>
      </c>
      <c r="E35" s="202">
        <f t="shared" si="0"/>
        <v>383814</v>
      </c>
      <c r="F35" s="203" t="str">
        <f>IFERROR(_xlfn.XLOOKUP($E35,'Product Cost - Price'!$B$5:$B$301,'Product Cost - Price'!$E$5:$E$301),"")</f>
        <v>Standard</v>
      </c>
      <c r="G35" s="203">
        <f>IFERROR(_xlfn.XLOOKUP($E35,'Product Cost - Price'!$B$5:$B$301,'Product Cost - Price'!$G$5:$G$301),"")</f>
        <v>20</v>
      </c>
      <c r="H35" s="204">
        <f>IFERROR(_xlfn.XLOOKUP($E35,'Product Cost - Price'!$B$5:$B$301,'Product Cost - Price'!$L$5:$L$301),"")</f>
        <v>0.33145882352941175</v>
      </c>
      <c r="I35" s="204">
        <f t="shared" si="1"/>
        <v>2492.5703529411762</v>
      </c>
      <c r="J35" s="204">
        <f>IFERROR(_xlfn.XLOOKUP($E35,'Product Cost - Price'!$B$5:$B$301,'Product Cost - Price'!$M$5:$M$301),"")</f>
        <v>5.5E-2</v>
      </c>
      <c r="K35" s="204">
        <f t="shared" si="2"/>
        <v>413.6</v>
      </c>
      <c r="L35" s="204">
        <f>IFERROR(_xlfn.XLOOKUP($E35,'Product Cost - Price'!$B$5:$B$301,'Product Cost - Price'!$N$5:$N$301),"")</f>
        <v>0.08</v>
      </c>
      <c r="M35" s="204">
        <f t="shared" si="3"/>
        <v>601.6</v>
      </c>
      <c r="N35" s="204">
        <f>IFERROR(_xlfn.XLOOKUP($E35,'Product Cost - Price'!$B$5:$B$301,'Product Cost - Price'!$O$5:$O$301),"")</f>
        <v>0</v>
      </c>
      <c r="O35" s="204">
        <f t="shared" si="4"/>
        <v>0</v>
      </c>
      <c r="P35" s="204">
        <f>IFERROR(_xlfn.XLOOKUP($E35,'Product Cost - Price'!$B$5:$B$301,'Product Cost - Price'!$P$5:$P$301),"")</f>
        <v>0.6925</v>
      </c>
      <c r="Q35" s="204">
        <f t="shared" si="5"/>
        <v>260.38</v>
      </c>
      <c r="R35" s="204">
        <f>IFERROR(_xlfn.XLOOKUP($E35,'Product Cost - Price'!$B$5:$B$301,'Product Cost - Price'!$Q$5:$Q$301),"")</f>
        <v>1.4583333333333333</v>
      </c>
      <c r="S35" s="204">
        <f t="shared" si="6"/>
        <v>548.33333333333326</v>
      </c>
      <c r="U35" s="204">
        <f t="shared" si="7"/>
        <v>1097.9163137254902</v>
      </c>
      <c r="V35" s="276">
        <f t="shared" si="8"/>
        <v>0.2027770969498911</v>
      </c>
    </row>
    <row r="36" spans="1:22" x14ac:dyDescent="0.3">
      <c r="A36" s="278" t="s">
        <v>666</v>
      </c>
      <c r="B36" s="278">
        <v>213</v>
      </c>
      <c r="C36" s="279">
        <v>5707.4</v>
      </c>
      <c r="E36" s="202">
        <f t="shared" si="0"/>
        <v>403935</v>
      </c>
      <c r="F36" s="203" t="str">
        <f>IFERROR(_xlfn.XLOOKUP($E36,'Product Cost - Price'!$B$5:$B$301,'Product Cost - Price'!$E$5:$E$301),"")</f>
        <v>Standard</v>
      </c>
      <c r="G36" s="203">
        <f>IFERROR(_xlfn.XLOOKUP($E36,'Product Cost - Price'!$B$5:$B$301,'Product Cost - Price'!$G$5:$G$301),"")</f>
        <v>20</v>
      </c>
      <c r="H36" s="204">
        <f>IFERROR(_xlfn.XLOOKUP($E36,'Product Cost - Price'!$B$5:$B$301,'Product Cost - Price'!$L$5:$L$301),"")</f>
        <v>0.58330825000000008</v>
      </c>
      <c r="I36" s="204">
        <f t="shared" si="1"/>
        <v>2484.8931450000005</v>
      </c>
      <c r="J36" s="204">
        <f>IFERROR(_xlfn.XLOOKUP($E36,'Product Cost - Price'!$B$5:$B$301,'Product Cost - Price'!$M$5:$M$301),"")</f>
        <v>5.5E-2</v>
      </c>
      <c r="K36" s="204">
        <f t="shared" si="2"/>
        <v>234.3</v>
      </c>
      <c r="L36" s="204">
        <f>IFERROR(_xlfn.XLOOKUP($E36,'Product Cost - Price'!$B$5:$B$301,'Product Cost - Price'!$N$5:$N$301),"")</f>
        <v>0.08</v>
      </c>
      <c r="M36" s="204">
        <f t="shared" si="3"/>
        <v>340.8</v>
      </c>
      <c r="N36" s="204">
        <f>IFERROR(_xlfn.XLOOKUP($E36,'Product Cost - Price'!$B$5:$B$301,'Product Cost - Price'!$O$5:$O$301),"")</f>
        <v>0</v>
      </c>
      <c r="O36" s="204">
        <f t="shared" si="4"/>
        <v>0</v>
      </c>
      <c r="P36" s="204">
        <f>IFERROR(_xlfn.XLOOKUP($E36,'Product Cost - Price'!$B$5:$B$301,'Product Cost - Price'!$P$5:$P$301),"")</f>
        <v>0.6925</v>
      </c>
      <c r="Q36" s="204">
        <f t="shared" si="5"/>
        <v>147.5025</v>
      </c>
      <c r="R36" s="204">
        <f>IFERROR(_xlfn.XLOOKUP($E36,'Product Cost - Price'!$B$5:$B$301,'Product Cost - Price'!$Q$5:$Q$301),"")</f>
        <v>1.4583333333333333</v>
      </c>
      <c r="S36" s="204">
        <f t="shared" si="6"/>
        <v>310.625</v>
      </c>
      <c r="U36" s="204">
        <f t="shared" si="7"/>
        <v>2189.2793549999988</v>
      </c>
      <c r="V36" s="276">
        <f t="shared" si="8"/>
        <v>0.38358610838560447</v>
      </c>
    </row>
    <row r="37" spans="1:22" x14ac:dyDescent="0.3">
      <c r="A37" s="278" t="s">
        <v>667</v>
      </c>
      <c r="B37" s="278">
        <v>40</v>
      </c>
      <c r="C37" s="279">
        <v>160</v>
      </c>
      <c r="E37" s="202">
        <f t="shared" si="0"/>
        <v>403984</v>
      </c>
      <c r="F37" s="203" t="str">
        <f>IFERROR(_xlfn.XLOOKUP($E37,'Product Cost - Price'!$B$5:$B$301,'Product Cost - Price'!$E$5:$E$301),"")</f>
        <v>Standard</v>
      </c>
      <c r="G37" s="203">
        <f>IFERROR(_xlfn.XLOOKUP($E37,'Product Cost - Price'!$B$5:$B$301,'Product Cost - Price'!$G$5:$G$301),"")</f>
        <v>25</v>
      </c>
      <c r="H37" s="204">
        <f>IFERROR(_xlfn.XLOOKUP($E37,'Product Cost - Price'!$B$5:$B$301,'Product Cost - Price'!$L$5:$L$301),"")</f>
        <v>0</v>
      </c>
      <c r="I37" s="204">
        <f t="shared" si="1"/>
        <v>0</v>
      </c>
      <c r="J37" s="204">
        <f>IFERROR(_xlfn.XLOOKUP($E37,'Product Cost - Price'!$B$5:$B$301,'Product Cost - Price'!$M$5:$M$301),"")</f>
        <v>0</v>
      </c>
      <c r="K37" s="204">
        <f t="shared" si="2"/>
        <v>0</v>
      </c>
      <c r="L37" s="204">
        <f>IFERROR(_xlfn.XLOOKUP($E37,'Product Cost - Price'!$B$5:$B$301,'Product Cost - Price'!$N$5:$N$301),"")</f>
        <v>0</v>
      </c>
      <c r="M37" s="204">
        <f t="shared" si="3"/>
        <v>0</v>
      </c>
      <c r="N37" s="204">
        <f>IFERROR(_xlfn.XLOOKUP($E37,'Product Cost - Price'!$B$5:$B$301,'Product Cost - Price'!$O$5:$O$301),"")</f>
        <v>0</v>
      </c>
      <c r="O37" s="204">
        <f t="shared" si="4"/>
        <v>0</v>
      </c>
      <c r="P37" s="204">
        <f>IFERROR(_xlfn.XLOOKUP($E37,'Product Cost - Price'!$B$5:$B$301,'Product Cost - Price'!$P$5:$P$301),"")</f>
        <v>0.6925</v>
      </c>
      <c r="Q37" s="204">
        <f t="shared" si="5"/>
        <v>27.7</v>
      </c>
      <c r="R37" s="204">
        <f>IFERROR(_xlfn.XLOOKUP($E37,'Product Cost - Price'!$B$5:$B$301,'Product Cost - Price'!$Q$5:$Q$301),"")</f>
        <v>0</v>
      </c>
      <c r="S37" s="204">
        <f t="shared" si="6"/>
        <v>0</v>
      </c>
      <c r="U37" s="204">
        <f t="shared" si="7"/>
        <v>132.30000000000001</v>
      </c>
      <c r="V37" s="276">
        <f t="shared" si="8"/>
        <v>0.82687500000000003</v>
      </c>
    </row>
    <row r="38" spans="1:22" x14ac:dyDescent="0.3">
      <c r="A38" s="278" t="s">
        <v>668</v>
      </c>
      <c r="B38" s="280">
        <v>78200</v>
      </c>
      <c r="C38" s="279">
        <v>10166</v>
      </c>
      <c r="E38" s="202">
        <f t="shared" si="0"/>
        <v>403985</v>
      </c>
      <c r="F38" s="203" t="str">
        <f>IFERROR(_xlfn.XLOOKUP($E38,'Product Cost - Price'!$B$5:$B$301,'Product Cost - Price'!$E$5:$E$301),"")</f>
        <v>Bulka</v>
      </c>
      <c r="G38" s="203">
        <f>IFERROR(_xlfn.XLOOKUP($E38,'Product Cost - Price'!$B$5:$B$301,'Product Cost - Price'!$G$5:$G$301),"")</f>
        <v>1200</v>
      </c>
      <c r="H38" s="204">
        <f>IFERROR(_xlfn.XLOOKUP($E38,'Product Cost - Price'!$B$5:$B$301,'Product Cost - Price'!$L$5:$L$301),"")</f>
        <v>0</v>
      </c>
      <c r="I38" s="204">
        <f t="shared" si="1"/>
        <v>0</v>
      </c>
      <c r="J38" s="204">
        <f>IFERROR(_xlfn.XLOOKUP($E38,'Product Cost - Price'!$B$5:$B$301,'Product Cost - Price'!$M$5:$M$301),"")</f>
        <v>0</v>
      </c>
      <c r="K38" s="204">
        <f t="shared" si="2"/>
        <v>0</v>
      </c>
      <c r="L38" s="204">
        <f>IFERROR(_xlfn.XLOOKUP($E38,'Product Cost - Price'!$B$5:$B$301,'Product Cost - Price'!$N$5:$N$301),"")</f>
        <v>0</v>
      </c>
      <c r="M38" s="204">
        <f t="shared" si="3"/>
        <v>0</v>
      </c>
      <c r="N38" s="204">
        <f>IFERROR(_xlfn.XLOOKUP($E38,'Product Cost - Price'!$B$5:$B$301,'Product Cost - Price'!$O$5:$O$301),"")</f>
        <v>0</v>
      </c>
      <c r="O38" s="204">
        <f t="shared" si="4"/>
        <v>0</v>
      </c>
      <c r="P38" s="204">
        <f>IFERROR(_xlfn.XLOOKUP($E38,'Product Cost - Price'!$B$5:$B$301,'Product Cost - Price'!$P$5:$P$301),"")</f>
        <v>1.4333333333333333E-2</v>
      </c>
      <c r="Q38" s="204">
        <f t="shared" si="5"/>
        <v>1120.8666666666666</v>
      </c>
      <c r="R38" s="204">
        <f>IFERROR(_xlfn.XLOOKUP($E38,'Product Cost - Price'!$B$5:$B$301,'Product Cost - Price'!$Q$5:$Q$301),"")</f>
        <v>0</v>
      </c>
      <c r="S38" s="204">
        <f t="shared" si="6"/>
        <v>0</v>
      </c>
      <c r="U38" s="204">
        <f t="shared" si="7"/>
        <v>9045.1333333333332</v>
      </c>
      <c r="V38" s="276">
        <f t="shared" si="8"/>
        <v>0.88974358974358969</v>
      </c>
    </row>
    <row r="39" spans="1:22" x14ac:dyDescent="0.3">
      <c r="A39" s="278" t="s">
        <v>669</v>
      </c>
      <c r="B39" s="278">
        <v>192</v>
      </c>
      <c r="C39" s="279">
        <v>3304.32</v>
      </c>
      <c r="E39" s="202">
        <f t="shared" si="0"/>
        <v>404266</v>
      </c>
      <c r="F39" s="203" t="str">
        <f>IFERROR(_xlfn.XLOOKUP($E39,'Product Cost - Price'!$B$5:$B$301,'Product Cost - Price'!$E$5:$E$301),"")</f>
        <v>Standard</v>
      </c>
      <c r="G39" s="203">
        <f>IFERROR(_xlfn.XLOOKUP($E39,'Product Cost - Price'!$B$5:$B$301,'Product Cost - Price'!$G$5:$G$301),"")</f>
        <v>20</v>
      </c>
      <c r="H39" s="204">
        <f>IFERROR(_xlfn.XLOOKUP($E39,'Product Cost - Price'!$B$5:$B$301,'Product Cost - Price'!$L$5:$L$301),"")</f>
        <v>0.54442968749999998</v>
      </c>
      <c r="I39" s="204">
        <f t="shared" si="1"/>
        <v>2090.61</v>
      </c>
      <c r="J39" s="204">
        <f>IFERROR(_xlfn.XLOOKUP($E39,'Product Cost - Price'!$B$5:$B$301,'Product Cost - Price'!$M$5:$M$301),"")</f>
        <v>5.5E-2</v>
      </c>
      <c r="K39" s="204">
        <f t="shared" si="2"/>
        <v>211.20000000000002</v>
      </c>
      <c r="L39" s="204">
        <f>IFERROR(_xlfn.XLOOKUP($E39,'Product Cost - Price'!$B$5:$B$301,'Product Cost - Price'!$N$5:$N$301),"")</f>
        <v>0.04</v>
      </c>
      <c r="M39" s="204">
        <f t="shared" si="3"/>
        <v>153.60000000000002</v>
      </c>
      <c r="N39" s="204">
        <f>IFERROR(_xlfn.XLOOKUP($E39,'Product Cost - Price'!$B$5:$B$301,'Product Cost - Price'!$O$5:$O$301),"")</f>
        <v>0</v>
      </c>
      <c r="O39" s="204">
        <f t="shared" si="4"/>
        <v>0</v>
      </c>
      <c r="P39" s="204">
        <f>IFERROR(_xlfn.XLOOKUP($E39,'Product Cost - Price'!$B$5:$B$301,'Product Cost - Price'!$P$5:$P$301),"")</f>
        <v>6.25E-2</v>
      </c>
      <c r="Q39" s="204">
        <f t="shared" si="5"/>
        <v>12</v>
      </c>
      <c r="R39" s="204">
        <f>IFERROR(_xlfn.XLOOKUP($E39,'Product Cost - Price'!$B$5:$B$301,'Product Cost - Price'!$Q$5:$Q$301),"")</f>
        <v>1.4583333333333333</v>
      </c>
      <c r="S39" s="204">
        <f t="shared" si="6"/>
        <v>280</v>
      </c>
      <c r="U39" s="204">
        <f t="shared" si="7"/>
        <v>556.91</v>
      </c>
      <c r="V39" s="276">
        <f t="shared" si="8"/>
        <v>0.16853997191555295</v>
      </c>
    </row>
    <row r="40" spans="1:22" x14ac:dyDescent="0.3">
      <c r="A40" s="278" t="s">
        <v>670</v>
      </c>
      <c r="B40" s="278">
        <v>15</v>
      </c>
      <c r="C40" s="279">
        <v>372</v>
      </c>
      <c r="E40" s="202">
        <f t="shared" ref="E40:E71" si="9">IFERROR(VALUE(LEFT(A40,6)),"")</f>
        <v>408406</v>
      </c>
      <c r="F40" s="203" t="str">
        <f>IFERROR(_xlfn.XLOOKUP($E40,'Product Cost - Price'!$B$5:$B$301,'Product Cost - Price'!$E$5:$E$301),"")</f>
        <v>Standard</v>
      </c>
      <c r="G40" s="203">
        <f>IFERROR(_xlfn.XLOOKUP($E40,'Product Cost - Price'!$B$5:$B$301,'Product Cost - Price'!$G$5:$G$301),"")</f>
        <v>20</v>
      </c>
      <c r="H40" s="204">
        <f>IFERROR(_xlfn.XLOOKUP($E40,'Product Cost - Price'!$B$5:$B$301,'Product Cost - Price'!$L$5:$L$301),"")</f>
        <v>0.65918999999999994</v>
      </c>
      <c r="I40" s="204">
        <f t="shared" ref="I40:I71" si="10">IFERROR(IF($F40="Standard",H40*$G40*$B40,IF(OR($F40="Per Unit",$F40="Bulka"),H40*$B40,IF($F40="1.5 kg",H40*1.5*8*$B40,"No Std"))),0)</f>
        <v>197.75699999999998</v>
      </c>
      <c r="J40" s="204">
        <f>IFERROR(_xlfn.XLOOKUP($E40,'Product Cost - Price'!$B$5:$B$301,'Product Cost - Price'!$M$5:$M$301),"")</f>
        <v>5.5E-2</v>
      </c>
      <c r="K40" s="204">
        <f t="shared" ref="K40:K71" si="11">IFERROR(IF($F40="Standard",J40*$G40*$B40,IF(OR($F40="Per Unit",$F40="Bulka"),J40*$B40,IF($F40="1.5 kg",J40*1.5*8*$B40,"No Std"))),0)</f>
        <v>16.5</v>
      </c>
      <c r="L40" s="204">
        <f>IFERROR(_xlfn.XLOOKUP($E40,'Product Cost - Price'!$B$5:$B$301,'Product Cost - Price'!$N$5:$N$301),"")</f>
        <v>0.08</v>
      </c>
      <c r="M40" s="204">
        <f t="shared" ref="M40:M71" si="12">IFERROR(IF($F40="Standard",L40*$G40*$B40,IF(OR($F40="Per Unit",$F40="Bulka"),L40*$B40,IF($F40="1.5 kg",L40*1.5*8*$B40,"No Std"))),0)</f>
        <v>24</v>
      </c>
      <c r="N40" s="204">
        <f>IFERROR(_xlfn.XLOOKUP($E40,'Product Cost - Price'!$B$5:$B$301,'Product Cost - Price'!$O$5:$O$301),"")</f>
        <v>0</v>
      </c>
      <c r="O40" s="204">
        <f t="shared" ref="O40:O71" si="13">IFERROR(IF($F40="Standard",N40*$G40*$B40,IF(OR($F40="Per Unit",$F40="Bulka"),N40*$B40,IF($F40="1.5 kg",N40*1.5*8*$B40,"No Std"))),0)</f>
        <v>0</v>
      </c>
      <c r="P40" s="204">
        <f>IFERROR(_xlfn.XLOOKUP($E40,'Product Cost - Price'!$B$5:$B$301,'Product Cost - Price'!$P$5:$P$301),"")</f>
        <v>0.6925</v>
      </c>
      <c r="Q40" s="204">
        <f t="shared" ref="Q40:Q71" si="14">IF(P40="","",P40*B40)</f>
        <v>10.387499999999999</v>
      </c>
      <c r="R40" s="204">
        <f>IFERROR(_xlfn.XLOOKUP($E40,'Product Cost - Price'!$B$5:$B$301,'Product Cost - Price'!$Q$5:$Q$301),"")</f>
        <v>1.4583333333333333</v>
      </c>
      <c r="S40" s="204">
        <f t="shared" ref="S40:S71" si="15">IF(R40="","",R40*B40)</f>
        <v>21.875</v>
      </c>
      <c r="U40" s="204">
        <f t="shared" ref="U40:U71" si="16">IFERROR(C40-I40-K40-M40-O40-Q40-S40,"")</f>
        <v>101.48050000000002</v>
      </c>
      <c r="V40" s="276">
        <f t="shared" ref="V40:V71" si="17">IFERROR(U40/C40,"")</f>
        <v>0.27279704301075275</v>
      </c>
    </row>
    <row r="41" spans="1:22" x14ac:dyDescent="0.3">
      <c r="A41" s="278" t="s">
        <v>671</v>
      </c>
      <c r="B41" s="280">
        <v>1080</v>
      </c>
      <c r="C41" s="279">
        <v>4320</v>
      </c>
      <c r="E41" s="202">
        <f t="shared" si="9"/>
        <v>441361</v>
      </c>
      <c r="F41" s="203" t="str">
        <f>IFERROR(_xlfn.XLOOKUP($E41,'Product Cost - Price'!$B$5:$B$301,'Product Cost - Price'!$E$5:$E$301),"")</f>
        <v>Standard</v>
      </c>
      <c r="G41" s="203">
        <f>IFERROR(_xlfn.XLOOKUP($E41,'Product Cost - Price'!$B$5:$B$301,'Product Cost - Price'!$G$5:$G$301),"")</f>
        <v>25</v>
      </c>
      <c r="H41" s="204">
        <f>IFERROR(_xlfn.XLOOKUP($E41,'Product Cost - Price'!$B$5:$B$301,'Product Cost - Price'!$L$5:$L$301),"")</f>
        <v>0</v>
      </c>
      <c r="I41" s="204">
        <f t="shared" si="10"/>
        <v>0</v>
      </c>
      <c r="J41" s="204">
        <f>IFERROR(_xlfn.XLOOKUP($E41,'Product Cost - Price'!$B$5:$B$301,'Product Cost - Price'!$M$5:$M$301),"")</f>
        <v>0</v>
      </c>
      <c r="K41" s="204">
        <f t="shared" si="11"/>
        <v>0</v>
      </c>
      <c r="L41" s="204">
        <f>IFERROR(_xlfn.XLOOKUP($E41,'Product Cost - Price'!$B$5:$B$301,'Product Cost - Price'!$N$5:$N$301),"")</f>
        <v>0</v>
      </c>
      <c r="M41" s="204">
        <f t="shared" si="12"/>
        <v>0</v>
      </c>
      <c r="N41" s="204">
        <f>IFERROR(_xlfn.XLOOKUP($E41,'Product Cost - Price'!$B$5:$B$301,'Product Cost - Price'!$O$5:$O$301),"")</f>
        <v>0</v>
      </c>
      <c r="O41" s="204">
        <f t="shared" si="13"/>
        <v>0</v>
      </c>
      <c r="P41" s="204">
        <f>IFERROR(_xlfn.XLOOKUP($E41,'Product Cost - Price'!$B$5:$B$301,'Product Cost - Price'!$P$5:$P$301),"")</f>
        <v>0.6925</v>
      </c>
      <c r="Q41" s="204">
        <f t="shared" si="14"/>
        <v>747.9</v>
      </c>
      <c r="R41" s="204">
        <f>IFERROR(_xlfn.XLOOKUP($E41,'Product Cost - Price'!$B$5:$B$301,'Product Cost - Price'!$Q$5:$Q$301),"")</f>
        <v>0</v>
      </c>
      <c r="S41" s="204">
        <f t="shared" si="15"/>
        <v>0</v>
      </c>
      <c r="U41" s="204">
        <f t="shared" si="16"/>
        <v>3572.1</v>
      </c>
      <c r="V41" s="276">
        <f t="shared" si="17"/>
        <v>0.82687500000000003</v>
      </c>
    </row>
    <row r="42" spans="1:22" x14ac:dyDescent="0.3">
      <c r="A42" s="278" t="s">
        <v>672</v>
      </c>
      <c r="B42" s="278">
        <v>84</v>
      </c>
      <c r="C42" s="279">
        <v>1075.2</v>
      </c>
      <c r="E42" s="202">
        <f t="shared" si="9"/>
        <v>458163</v>
      </c>
      <c r="F42" s="203" t="str">
        <f>IFERROR(_xlfn.XLOOKUP($E42,'Product Cost - Price'!$B$5:$B$301,'Product Cost - Price'!$E$5:$E$301),"")</f>
        <v>Per Unit</v>
      </c>
      <c r="G42" s="203">
        <f>IFERROR(_xlfn.XLOOKUP($E42,'Product Cost - Price'!$B$5:$B$301,'Product Cost - Price'!$G$5:$G$301),"")</f>
        <v>1</v>
      </c>
      <c r="H42" s="204">
        <f>IFERROR(_xlfn.XLOOKUP($E42,'Product Cost - Price'!$B$5:$B$301,'Product Cost - Price'!$L$5:$L$301),"")</f>
        <v>9</v>
      </c>
      <c r="I42" s="204">
        <f t="shared" si="10"/>
        <v>756</v>
      </c>
      <c r="J42" s="204">
        <f>IFERROR(_xlfn.XLOOKUP($E42,'Product Cost - Price'!$B$5:$B$301,'Product Cost - Price'!$M$5:$M$301),"")</f>
        <v>0</v>
      </c>
      <c r="K42" s="204">
        <f t="shared" si="11"/>
        <v>0</v>
      </c>
      <c r="L42" s="204">
        <f>IFERROR(_xlfn.XLOOKUP($E42,'Product Cost - Price'!$B$5:$B$301,'Product Cost - Price'!$N$5:$N$301),"")</f>
        <v>0.6</v>
      </c>
      <c r="M42" s="204">
        <f t="shared" si="12"/>
        <v>50.4</v>
      </c>
      <c r="N42" s="204">
        <f>IFERROR(_xlfn.XLOOKUP($E42,'Product Cost - Price'!$B$5:$B$301,'Product Cost - Price'!$O$5:$O$301),"")</f>
        <v>0</v>
      </c>
      <c r="O42" s="204">
        <f t="shared" si="13"/>
        <v>0</v>
      </c>
      <c r="P42" s="204">
        <f>IFERROR(_xlfn.XLOOKUP($E42,'Product Cost - Price'!$B$5:$B$301,'Product Cost - Price'!$P$5:$P$301),"")</f>
        <v>0</v>
      </c>
      <c r="Q42" s="204">
        <f t="shared" si="14"/>
        <v>0</v>
      </c>
      <c r="R42" s="204">
        <f>IFERROR(_xlfn.XLOOKUP($E42,'Product Cost - Price'!$B$5:$B$301,'Product Cost - Price'!$Q$5:$Q$301),"")</f>
        <v>3.5</v>
      </c>
      <c r="S42" s="204">
        <f t="shared" si="15"/>
        <v>294</v>
      </c>
      <c r="U42" s="204">
        <f t="shared" si="16"/>
        <v>-25.199999999999932</v>
      </c>
      <c r="V42" s="276">
        <f t="shared" si="17"/>
        <v>-2.3437499999999934E-2</v>
      </c>
    </row>
    <row r="43" spans="1:22" x14ac:dyDescent="0.3">
      <c r="A43" s="278" t="s">
        <v>673</v>
      </c>
      <c r="B43" s="278">
        <v>768</v>
      </c>
      <c r="C43" s="279">
        <v>15406.08</v>
      </c>
      <c r="E43" s="202">
        <f t="shared" si="9"/>
        <v>472760</v>
      </c>
      <c r="F43" s="203" t="str">
        <f>IFERROR(_xlfn.XLOOKUP($E43,'Product Cost - Price'!$B$5:$B$301,'Product Cost - Price'!$E$5:$E$301),"")</f>
        <v>Standard</v>
      </c>
      <c r="G43" s="203">
        <f>IFERROR(_xlfn.XLOOKUP($E43,'Product Cost - Price'!$B$5:$B$301,'Product Cost - Price'!$G$5:$G$301),"")</f>
        <v>20</v>
      </c>
      <c r="H43" s="204">
        <f>IFERROR(_xlfn.XLOOKUP($E43,'Product Cost - Price'!$B$5:$B$301,'Product Cost - Price'!$L$5:$L$301),"")</f>
        <v>0.64053376205787771</v>
      </c>
      <c r="I43" s="204">
        <f t="shared" si="10"/>
        <v>9838.5985852090016</v>
      </c>
      <c r="J43" s="204">
        <f>IFERROR(_xlfn.XLOOKUP($E43,'Product Cost - Price'!$B$5:$B$301,'Product Cost - Price'!$M$5:$M$301),"")</f>
        <v>5.5E-2</v>
      </c>
      <c r="K43" s="204">
        <f t="shared" si="11"/>
        <v>844.80000000000007</v>
      </c>
      <c r="L43" s="204">
        <f>IFERROR(_xlfn.XLOOKUP($E43,'Product Cost - Price'!$B$5:$B$301,'Product Cost - Price'!$N$5:$N$301),"")</f>
        <v>0.04</v>
      </c>
      <c r="M43" s="204">
        <f t="shared" si="12"/>
        <v>614.40000000000009</v>
      </c>
      <c r="N43" s="204">
        <f>IFERROR(_xlfn.XLOOKUP($E43,'Product Cost - Price'!$B$5:$B$301,'Product Cost - Price'!$O$5:$O$301),"")</f>
        <v>0</v>
      </c>
      <c r="O43" s="204">
        <f t="shared" si="13"/>
        <v>0</v>
      </c>
      <c r="P43" s="204">
        <f>IFERROR(_xlfn.XLOOKUP($E43,'Product Cost - Price'!$B$5:$B$301,'Product Cost - Price'!$P$5:$P$301),"")</f>
        <v>6.25E-2</v>
      </c>
      <c r="Q43" s="204">
        <f t="shared" si="14"/>
        <v>48</v>
      </c>
      <c r="R43" s="204">
        <f>IFERROR(_xlfn.XLOOKUP($E43,'Product Cost - Price'!$B$5:$B$301,'Product Cost - Price'!$Q$5:$Q$301),"")</f>
        <v>1.4583333333333333</v>
      </c>
      <c r="S43" s="204">
        <f t="shared" si="15"/>
        <v>1120</v>
      </c>
      <c r="U43" s="204">
        <f t="shared" si="16"/>
        <v>2940.2814147909976</v>
      </c>
      <c r="V43" s="276">
        <f t="shared" si="17"/>
        <v>0.19085201522976628</v>
      </c>
    </row>
    <row r="44" spans="1:22" x14ac:dyDescent="0.3">
      <c r="A44" s="278" t="s">
        <v>674</v>
      </c>
      <c r="B44" s="278">
        <v>288</v>
      </c>
      <c r="C44" s="279">
        <v>5912.64</v>
      </c>
      <c r="E44" s="202">
        <f t="shared" si="9"/>
        <v>472761</v>
      </c>
      <c r="F44" s="203" t="str">
        <f>IFERROR(_xlfn.XLOOKUP($E44,'Product Cost - Price'!$B$5:$B$301,'Product Cost - Price'!$E$5:$E$301),"")</f>
        <v>Standard</v>
      </c>
      <c r="G44" s="203">
        <f>IFERROR(_xlfn.XLOOKUP($E44,'Product Cost - Price'!$B$5:$B$301,'Product Cost - Price'!$G$5:$G$301),"")</f>
        <v>20</v>
      </c>
      <c r="H44" s="204">
        <f>IFERROR(_xlfn.XLOOKUP($E44,'Product Cost - Price'!$B$5:$B$301,'Product Cost - Price'!$L$5:$L$301),"")</f>
        <v>0.66285608856088551</v>
      </c>
      <c r="I44" s="204">
        <f t="shared" si="10"/>
        <v>3818.0510701107005</v>
      </c>
      <c r="J44" s="204">
        <f>IFERROR(_xlfn.XLOOKUP($E44,'Product Cost - Price'!$B$5:$B$301,'Product Cost - Price'!$M$5:$M$301),"")</f>
        <v>5.5E-2</v>
      </c>
      <c r="K44" s="204">
        <f t="shared" si="11"/>
        <v>316.8</v>
      </c>
      <c r="L44" s="204">
        <f>IFERROR(_xlfn.XLOOKUP($E44,'Product Cost - Price'!$B$5:$B$301,'Product Cost - Price'!$N$5:$N$301),"")</f>
        <v>0.04</v>
      </c>
      <c r="M44" s="204">
        <f t="shared" si="12"/>
        <v>230.4</v>
      </c>
      <c r="N44" s="204">
        <f>IFERROR(_xlfn.XLOOKUP($E44,'Product Cost - Price'!$B$5:$B$301,'Product Cost - Price'!$O$5:$O$301),"")</f>
        <v>0</v>
      </c>
      <c r="O44" s="204">
        <f t="shared" si="13"/>
        <v>0</v>
      </c>
      <c r="P44" s="204">
        <f>IFERROR(_xlfn.XLOOKUP($E44,'Product Cost - Price'!$B$5:$B$301,'Product Cost - Price'!$P$5:$P$301),"")</f>
        <v>6.25E-2</v>
      </c>
      <c r="Q44" s="204">
        <f t="shared" si="14"/>
        <v>18</v>
      </c>
      <c r="R44" s="204">
        <f>IFERROR(_xlfn.XLOOKUP($E44,'Product Cost - Price'!$B$5:$B$301,'Product Cost - Price'!$Q$5:$Q$301),"")</f>
        <v>1.4583333333333333</v>
      </c>
      <c r="S44" s="204">
        <f t="shared" si="15"/>
        <v>420</v>
      </c>
      <c r="U44" s="204">
        <f t="shared" si="16"/>
        <v>1109.3889298892998</v>
      </c>
      <c r="V44" s="276">
        <f t="shared" si="17"/>
        <v>0.18763004848752837</v>
      </c>
    </row>
    <row r="45" spans="1:22" x14ac:dyDescent="0.3">
      <c r="A45" s="278" t="s">
        <v>675</v>
      </c>
      <c r="B45" s="280">
        <v>18000</v>
      </c>
      <c r="C45" s="279">
        <v>11300</v>
      </c>
      <c r="E45" s="202">
        <f t="shared" si="9"/>
        <v>473237</v>
      </c>
      <c r="F45" s="203" t="str">
        <f>IFERROR(_xlfn.XLOOKUP($E45,'Product Cost - Price'!$B$5:$B$301,'Product Cost - Price'!$E$5:$E$301),"")</f>
        <v>Bulka</v>
      </c>
      <c r="G45" s="203">
        <f>IFERROR(_xlfn.XLOOKUP($E45,'Product Cost - Price'!$B$5:$B$301,'Product Cost - Price'!$G$5:$G$301),"")</f>
        <v>1000</v>
      </c>
      <c r="H45" s="204">
        <f>IFERROR(_xlfn.XLOOKUP($E45,'Product Cost - Price'!$B$5:$B$301,'Product Cost - Price'!$L$5:$L$301),"")</f>
        <v>0.37275000000000003</v>
      </c>
      <c r="I45" s="204">
        <f t="shared" si="10"/>
        <v>6709.5000000000009</v>
      </c>
      <c r="J45" s="204">
        <f>IFERROR(_xlfn.XLOOKUP($E45,'Product Cost - Price'!$B$5:$B$301,'Product Cost - Price'!$M$5:$M$301),"")</f>
        <v>5.5E-2</v>
      </c>
      <c r="K45" s="204">
        <f t="shared" si="11"/>
        <v>990</v>
      </c>
      <c r="L45" s="204">
        <f>IFERROR(_xlfn.XLOOKUP($E45,'Product Cost - Price'!$B$5:$B$301,'Product Cost - Price'!$N$5:$N$301),"")</f>
        <v>0.04</v>
      </c>
      <c r="M45" s="204">
        <f t="shared" si="12"/>
        <v>720</v>
      </c>
      <c r="N45" s="204">
        <f>IFERROR(_xlfn.XLOOKUP($E45,'Product Cost - Price'!$B$5:$B$301,'Product Cost - Price'!$O$5:$O$301),"")</f>
        <v>0</v>
      </c>
      <c r="O45" s="204">
        <f t="shared" si="13"/>
        <v>0</v>
      </c>
      <c r="P45" s="204">
        <f>IFERROR(_xlfn.XLOOKUP($E45,'Product Cost - Price'!$B$5:$B$301,'Product Cost - Price'!$P$5:$P$301),"")</f>
        <v>1.72E-2</v>
      </c>
      <c r="Q45" s="204">
        <f t="shared" si="14"/>
        <v>309.60000000000002</v>
      </c>
      <c r="R45" s="204">
        <f>IFERROR(_xlfn.XLOOKUP($E45,'Product Cost - Price'!$B$5:$B$301,'Product Cost - Price'!$Q$5:$Q$301),"")</f>
        <v>7.0000000000000007E-2</v>
      </c>
      <c r="S45" s="204">
        <f t="shared" si="15"/>
        <v>1260.0000000000002</v>
      </c>
      <c r="U45" s="204">
        <f t="shared" si="16"/>
        <v>1310.899999999999</v>
      </c>
      <c r="V45" s="276">
        <f t="shared" si="17"/>
        <v>0.11600884955752203</v>
      </c>
    </row>
    <row r="46" spans="1:22" x14ac:dyDescent="0.3">
      <c r="A46" s="278" t="s">
        <v>676</v>
      </c>
      <c r="B46" s="280">
        <v>1000</v>
      </c>
      <c r="C46" s="279">
        <v>1040</v>
      </c>
      <c r="E46" s="202">
        <f t="shared" si="9"/>
        <v>482693</v>
      </c>
      <c r="F46" s="203" t="str">
        <f>IFERROR(_xlfn.XLOOKUP($E46,'Product Cost - Price'!$B$5:$B$301,'Product Cost - Price'!$E$5:$E$301),"")</f>
        <v>Bulka</v>
      </c>
      <c r="G46" s="203">
        <f>IFERROR(_xlfn.XLOOKUP($E46,'Product Cost - Price'!$B$5:$B$301,'Product Cost - Price'!$G$5:$G$301),"")</f>
        <v>1000</v>
      </c>
      <c r="H46" s="204">
        <f>IFERROR(_xlfn.XLOOKUP($E46,'Product Cost - Price'!$B$5:$B$301,'Product Cost - Price'!$L$5:$L$301),"")</f>
        <v>0.66285608856088551</v>
      </c>
      <c r="I46" s="204">
        <f t="shared" si="10"/>
        <v>662.8560885608855</v>
      </c>
      <c r="J46" s="204">
        <f>IFERROR(_xlfn.XLOOKUP($E46,'Product Cost - Price'!$B$5:$B$301,'Product Cost - Price'!$M$5:$M$301),"")</f>
        <v>5.5E-2</v>
      </c>
      <c r="K46" s="204">
        <f t="shared" si="11"/>
        <v>55</v>
      </c>
      <c r="L46" s="204">
        <f>IFERROR(_xlfn.XLOOKUP($E46,'Product Cost - Price'!$B$5:$B$301,'Product Cost - Price'!$N$5:$N$301),"")</f>
        <v>0.04</v>
      </c>
      <c r="M46" s="204">
        <f t="shared" si="12"/>
        <v>40</v>
      </c>
      <c r="N46" s="204">
        <f>IFERROR(_xlfn.XLOOKUP($E46,'Product Cost - Price'!$B$5:$B$301,'Product Cost - Price'!$O$5:$O$301),"")</f>
        <v>0</v>
      </c>
      <c r="O46" s="204">
        <f t="shared" si="13"/>
        <v>0</v>
      </c>
      <c r="P46" s="204">
        <f>IFERROR(_xlfn.XLOOKUP($E46,'Product Cost - Price'!$B$5:$B$301,'Product Cost - Price'!$P$5:$P$301),"")</f>
        <v>1.72E-2</v>
      </c>
      <c r="Q46" s="204">
        <f t="shared" si="14"/>
        <v>17.2</v>
      </c>
      <c r="R46" s="204">
        <f>IFERROR(_xlfn.XLOOKUP($E46,'Product Cost - Price'!$B$5:$B$301,'Product Cost - Price'!$Q$5:$Q$301),"")</f>
        <v>7.0000000000000007E-2</v>
      </c>
      <c r="S46" s="204">
        <f t="shared" si="15"/>
        <v>70</v>
      </c>
      <c r="U46" s="204">
        <f t="shared" si="16"/>
        <v>194.94391143911452</v>
      </c>
      <c r="V46" s="276">
        <f t="shared" si="17"/>
        <v>0.18744606869145627</v>
      </c>
    </row>
    <row r="47" spans="1:22" x14ac:dyDescent="0.3">
      <c r="A47" s="278" t="s">
        <v>677</v>
      </c>
      <c r="B47" s="278">
        <v>192</v>
      </c>
      <c r="C47" s="279">
        <v>5696.64</v>
      </c>
      <c r="E47" s="202">
        <f t="shared" si="9"/>
        <v>483297</v>
      </c>
      <c r="F47" s="203" t="str">
        <f>IFERROR(_xlfn.XLOOKUP($E47,'Product Cost - Price'!$B$5:$B$301,'Product Cost - Price'!$E$5:$E$301),"")</f>
        <v>Standard</v>
      </c>
      <c r="G47" s="203">
        <f>IFERROR(_xlfn.XLOOKUP($E47,'Product Cost - Price'!$B$5:$B$301,'Product Cost - Price'!$G$5:$G$301),"")</f>
        <v>20</v>
      </c>
      <c r="H47" s="204">
        <f>IFERROR(_xlfn.XLOOKUP($E47,'Product Cost - Price'!$B$5:$B$301,'Product Cost - Price'!$L$5:$L$301),"")</f>
        <v>1.014923076923077</v>
      </c>
      <c r="I47" s="204">
        <f t="shared" si="10"/>
        <v>3897.3046153846162</v>
      </c>
      <c r="J47" s="204">
        <f>IFERROR(_xlfn.XLOOKUP($E47,'Product Cost - Price'!$B$5:$B$301,'Product Cost - Price'!$M$5:$M$301),"")</f>
        <v>5.5E-2</v>
      </c>
      <c r="K47" s="204">
        <f t="shared" si="11"/>
        <v>211.20000000000002</v>
      </c>
      <c r="L47" s="204">
        <f>IFERROR(_xlfn.XLOOKUP($E47,'Product Cost - Price'!$B$5:$B$301,'Product Cost - Price'!$N$5:$N$301),"")</f>
        <v>0.04</v>
      </c>
      <c r="M47" s="204">
        <f t="shared" si="12"/>
        <v>153.60000000000002</v>
      </c>
      <c r="N47" s="204">
        <f>IFERROR(_xlfn.XLOOKUP($E47,'Product Cost - Price'!$B$5:$B$301,'Product Cost - Price'!$O$5:$O$301),"")</f>
        <v>0</v>
      </c>
      <c r="O47" s="204">
        <f t="shared" si="13"/>
        <v>0</v>
      </c>
      <c r="P47" s="204">
        <f>IFERROR(_xlfn.XLOOKUP($E47,'Product Cost - Price'!$B$5:$B$301,'Product Cost - Price'!$P$5:$P$301),"")</f>
        <v>6.25E-2</v>
      </c>
      <c r="Q47" s="204">
        <f t="shared" si="14"/>
        <v>12</v>
      </c>
      <c r="R47" s="204">
        <f>IFERROR(_xlfn.XLOOKUP($E47,'Product Cost - Price'!$B$5:$B$301,'Product Cost - Price'!$Q$5:$Q$301),"")</f>
        <v>1.4583333333333333</v>
      </c>
      <c r="S47" s="204">
        <f t="shared" si="15"/>
        <v>280</v>
      </c>
      <c r="U47" s="204">
        <f t="shared" si="16"/>
        <v>1142.5353846153839</v>
      </c>
      <c r="V47" s="276">
        <f t="shared" si="17"/>
        <v>0.2005630309472573</v>
      </c>
    </row>
    <row r="48" spans="1:22" x14ac:dyDescent="0.3">
      <c r="A48" s="278" t="s">
        <v>678</v>
      </c>
      <c r="B48" s="278">
        <v>96</v>
      </c>
      <c r="C48" s="279">
        <v>3408.96</v>
      </c>
      <c r="E48" s="202">
        <f t="shared" si="9"/>
        <v>483299</v>
      </c>
      <c r="F48" s="203" t="str">
        <f>IFERROR(_xlfn.XLOOKUP($E48,'Product Cost - Price'!$B$5:$B$301,'Product Cost - Price'!$E$5:$E$301),"")</f>
        <v>Standard</v>
      </c>
      <c r="G48" s="203">
        <f>IFERROR(_xlfn.XLOOKUP($E48,'Product Cost - Price'!$B$5:$B$301,'Product Cost - Price'!$G$5:$G$301),"")</f>
        <v>20</v>
      </c>
      <c r="H48" s="204">
        <f>IFERROR(_xlfn.XLOOKUP($E48,'Product Cost - Price'!$B$5:$B$301,'Product Cost - Price'!$L$5:$L$301),"")</f>
        <v>1.2410769230769232</v>
      </c>
      <c r="I48" s="204">
        <f t="shared" si="10"/>
        <v>2382.8676923076923</v>
      </c>
      <c r="J48" s="204">
        <f>IFERROR(_xlfn.XLOOKUP($E48,'Product Cost - Price'!$B$5:$B$301,'Product Cost - Price'!$M$5:$M$301),"")</f>
        <v>5.5E-2</v>
      </c>
      <c r="K48" s="204">
        <f t="shared" si="11"/>
        <v>105.60000000000001</v>
      </c>
      <c r="L48" s="204">
        <f>IFERROR(_xlfn.XLOOKUP($E48,'Product Cost - Price'!$B$5:$B$301,'Product Cost - Price'!$N$5:$N$301),"")</f>
        <v>0.04</v>
      </c>
      <c r="M48" s="204">
        <f t="shared" si="12"/>
        <v>76.800000000000011</v>
      </c>
      <c r="N48" s="204">
        <f>IFERROR(_xlfn.XLOOKUP($E48,'Product Cost - Price'!$B$5:$B$301,'Product Cost - Price'!$O$5:$O$301),"")</f>
        <v>0</v>
      </c>
      <c r="O48" s="204">
        <f t="shared" si="13"/>
        <v>0</v>
      </c>
      <c r="P48" s="204">
        <f>IFERROR(_xlfn.XLOOKUP($E48,'Product Cost - Price'!$B$5:$B$301,'Product Cost - Price'!$P$5:$P$301),"")</f>
        <v>6.25E-2</v>
      </c>
      <c r="Q48" s="204">
        <f t="shared" si="14"/>
        <v>6</v>
      </c>
      <c r="R48" s="204">
        <f>IFERROR(_xlfn.XLOOKUP($E48,'Product Cost - Price'!$B$5:$B$301,'Product Cost - Price'!$Q$5:$Q$301),"")</f>
        <v>1.4583333333333333</v>
      </c>
      <c r="S48" s="204">
        <f t="shared" si="15"/>
        <v>140</v>
      </c>
      <c r="U48" s="204">
        <f t="shared" si="16"/>
        <v>697.69230769230762</v>
      </c>
      <c r="V48" s="276">
        <f t="shared" si="17"/>
        <v>0.20466426936435383</v>
      </c>
    </row>
    <row r="49" spans="1:22" x14ac:dyDescent="0.3">
      <c r="A49" s="278" t="s">
        <v>679</v>
      </c>
      <c r="B49" s="278">
        <v>60</v>
      </c>
      <c r="C49" s="279">
        <v>2170.1999999999998</v>
      </c>
      <c r="E49" s="202">
        <f t="shared" si="9"/>
        <v>483300</v>
      </c>
      <c r="F49" s="203" t="str">
        <f>IFERROR(_xlfn.XLOOKUP($E49,'Product Cost - Price'!$B$5:$B$301,'Product Cost - Price'!$E$5:$E$301),"")</f>
        <v>Standard</v>
      </c>
      <c r="G49" s="203">
        <f>IFERROR(_xlfn.XLOOKUP($E49,'Product Cost - Price'!$B$5:$B$301,'Product Cost - Price'!$G$5:$G$301),"")</f>
        <v>20</v>
      </c>
      <c r="H49" s="204">
        <f>IFERROR(_xlfn.XLOOKUP($E49,'Product Cost - Price'!$B$5:$B$301,'Product Cost - Price'!$L$5:$L$301),"")</f>
        <v>1.2669090909090908</v>
      </c>
      <c r="I49" s="204">
        <f t="shared" si="10"/>
        <v>1520.2909090909091</v>
      </c>
      <c r="J49" s="204">
        <f>IFERROR(_xlfn.XLOOKUP($E49,'Product Cost - Price'!$B$5:$B$301,'Product Cost - Price'!$M$5:$M$301),"")</f>
        <v>5.5E-2</v>
      </c>
      <c r="K49" s="204">
        <f t="shared" si="11"/>
        <v>66</v>
      </c>
      <c r="L49" s="204">
        <f>IFERROR(_xlfn.XLOOKUP($E49,'Product Cost - Price'!$B$5:$B$301,'Product Cost - Price'!$N$5:$N$301),"")</f>
        <v>0.04</v>
      </c>
      <c r="M49" s="204">
        <f t="shared" si="12"/>
        <v>48</v>
      </c>
      <c r="N49" s="204">
        <f>IFERROR(_xlfn.XLOOKUP($E49,'Product Cost - Price'!$B$5:$B$301,'Product Cost - Price'!$O$5:$O$301),"")</f>
        <v>0</v>
      </c>
      <c r="O49" s="204">
        <f t="shared" si="13"/>
        <v>0</v>
      </c>
      <c r="P49" s="204">
        <f>IFERROR(_xlfn.XLOOKUP($E49,'Product Cost - Price'!$B$5:$B$301,'Product Cost - Price'!$P$5:$P$301),"")</f>
        <v>6.25E-2</v>
      </c>
      <c r="Q49" s="204">
        <f t="shared" si="14"/>
        <v>3.75</v>
      </c>
      <c r="R49" s="204">
        <f>IFERROR(_xlfn.XLOOKUP($E49,'Product Cost - Price'!$B$5:$B$301,'Product Cost - Price'!$Q$5:$Q$301),"")</f>
        <v>1.4583333333333333</v>
      </c>
      <c r="S49" s="204">
        <f t="shared" si="15"/>
        <v>87.5</v>
      </c>
      <c r="U49" s="204">
        <f t="shared" si="16"/>
        <v>444.65909090909076</v>
      </c>
      <c r="V49" s="276">
        <f t="shared" si="17"/>
        <v>0.20489313930010636</v>
      </c>
    </row>
    <row r="50" spans="1:22" x14ac:dyDescent="0.3">
      <c r="A50" s="278" t="s">
        <v>680</v>
      </c>
      <c r="B50" s="278">
        <v>100</v>
      </c>
      <c r="C50" s="279">
        <v>1005</v>
      </c>
      <c r="E50" s="202">
        <f t="shared" si="9"/>
        <v>484378</v>
      </c>
      <c r="F50" s="203" t="str">
        <f>IFERROR(_xlfn.XLOOKUP($E50,'Product Cost - Price'!$B$5:$B$301,'Product Cost - Price'!$E$5:$E$301),"")</f>
        <v>Standard</v>
      </c>
      <c r="G50" s="203">
        <f>IFERROR(_xlfn.XLOOKUP($E50,'Product Cost - Price'!$B$5:$B$301,'Product Cost - Price'!$G$5:$G$301),"")</f>
        <v>10</v>
      </c>
      <c r="H50" s="204">
        <f>IFERROR(_xlfn.XLOOKUP($E50,'Product Cost - Price'!$B$5:$B$301,'Product Cost - Price'!$L$5:$L$301),"")</f>
        <v>0.64053376205787771</v>
      </c>
      <c r="I50" s="204">
        <f t="shared" si="10"/>
        <v>640.53376205787777</v>
      </c>
      <c r="J50" s="204">
        <f>IFERROR(_xlfn.XLOOKUP($E50,'Product Cost - Price'!$B$5:$B$301,'Product Cost - Price'!$M$5:$M$301),"")</f>
        <v>5.5E-2</v>
      </c>
      <c r="K50" s="204">
        <f t="shared" si="11"/>
        <v>55.000000000000007</v>
      </c>
      <c r="L50" s="204">
        <f>IFERROR(_xlfn.XLOOKUP($E50,'Product Cost - Price'!$B$5:$B$301,'Product Cost - Price'!$N$5:$N$301),"")</f>
        <v>0.04</v>
      </c>
      <c r="M50" s="204">
        <f t="shared" si="12"/>
        <v>40</v>
      </c>
      <c r="N50" s="204">
        <f>IFERROR(_xlfn.XLOOKUP($E50,'Product Cost - Price'!$B$5:$B$301,'Product Cost - Price'!$O$5:$O$301),"")</f>
        <v>0</v>
      </c>
      <c r="O50" s="204">
        <f t="shared" si="13"/>
        <v>0</v>
      </c>
      <c r="P50" s="204">
        <f>IFERROR(_xlfn.XLOOKUP($E50,'Product Cost - Price'!$B$5:$B$301,'Product Cost - Price'!$P$5:$P$301),"")</f>
        <v>6.25E-2</v>
      </c>
      <c r="Q50" s="204">
        <f t="shared" si="14"/>
        <v>6.25</v>
      </c>
      <c r="R50" s="204">
        <f>IFERROR(_xlfn.XLOOKUP($E50,'Product Cost - Price'!$B$5:$B$301,'Product Cost - Price'!$Q$5:$Q$301),"")</f>
        <v>0.7</v>
      </c>
      <c r="S50" s="204">
        <f t="shared" si="15"/>
        <v>70</v>
      </c>
      <c r="U50" s="204">
        <f t="shared" si="16"/>
        <v>193.21623794212223</v>
      </c>
      <c r="V50" s="276">
        <f t="shared" si="17"/>
        <v>0.19225496312648979</v>
      </c>
    </row>
    <row r="51" spans="1:22" x14ac:dyDescent="0.3">
      <c r="A51" s="278" t="s">
        <v>681</v>
      </c>
      <c r="B51" s="278">
        <v>106</v>
      </c>
      <c r="C51" s="279">
        <v>1090.74</v>
      </c>
      <c r="E51" s="202">
        <f t="shared" si="9"/>
        <v>484380</v>
      </c>
      <c r="F51" s="203" t="str">
        <f>IFERROR(_xlfn.XLOOKUP($E51,'Product Cost - Price'!$B$5:$B$301,'Product Cost - Price'!$E$5:$E$301),"")</f>
        <v>Standard</v>
      </c>
      <c r="G51" s="203">
        <f>IFERROR(_xlfn.XLOOKUP($E51,'Product Cost - Price'!$B$5:$B$301,'Product Cost - Price'!$G$5:$G$301),"")</f>
        <v>10</v>
      </c>
      <c r="H51" s="204">
        <f>IFERROR(_xlfn.XLOOKUP($E51,'Product Cost - Price'!$B$5:$B$301,'Product Cost - Price'!$L$5:$L$301),"")</f>
        <v>0.66285608856088551</v>
      </c>
      <c r="I51" s="204">
        <f t="shared" si="10"/>
        <v>702.62745387453867</v>
      </c>
      <c r="J51" s="204">
        <f>IFERROR(_xlfn.XLOOKUP($E51,'Product Cost - Price'!$B$5:$B$301,'Product Cost - Price'!$M$5:$M$301),"")</f>
        <v>5.5E-2</v>
      </c>
      <c r="K51" s="204">
        <f t="shared" si="11"/>
        <v>58.300000000000004</v>
      </c>
      <c r="L51" s="204">
        <f>IFERROR(_xlfn.XLOOKUP($E51,'Product Cost - Price'!$B$5:$B$301,'Product Cost - Price'!$N$5:$N$301),"")</f>
        <v>0.04</v>
      </c>
      <c r="M51" s="204">
        <f t="shared" si="12"/>
        <v>42.400000000000006</v>
      </c>
      <c r="N51" s="204">
        <f>IFERROR(_xlfn.XLOOKUP($E51,'Product Cost - Price'!$B$5:$B$301,'Product Cost - Price'!$O$5:$O$301),"")</f>
        <v>0</v>
      </c>
      <c r="O51" s="204">
        <f t="shared" si="13"/>
        <v>0</v>
      </c>
      <c r="P51" s="204">
        <f>IFERROR(_xlfn.XLOOKUP($E51,'Product Cost - Price'!$B$5:$B$301,'Product Cost - Price'!$P$5:$P$301),"")</f>
        <v>6.25E-2</v>
      </c>
      <c r="Q51" s="204">
        <f t="shared" si="14"/>
        <v>6.625</v>
      </c>
      <c r="R51" s="204">
        <f>IFERROR(_xlfn.XLOOKUP($E51,'Product Cost - Price'!$B$5:$B$301,'Product Cost - Price'!$Q$5:$Q$301),"")</f>
        <v>0.7</v>
      </c>
      <c r="S51" s="204">
        <f t="shared" si="15"/>
        <v>74.199999999999989</v>
      </c>
      <c r="U51" s="204">
        <f t="shared" si="16"/>
        <v>206.5875461254613</v>
      </c>
      <c r="V51" s="276">
        <f t="shared" si="17"/>
        <v>0.18940127447921715</v>
      </c>
    </row>
    <row r="52" spans="1:22" x14ac:dyDescent="0.3">
      <c r="A52" s="278" t="s">
        <v>682</v>
      </c>
      <c r="B52" s="278">
        <v>104</v>
      </c>
      <c r="C52" s="279">
        <v>2340</v>
      </c>
      <c r="E52" s="202">
        <f t="shared" si="9"/>
        <v>492032</v>
      </c>
      <c r="F52" s="203" t="str">
        <f>IFERROR(_xlfn.XLOOKUP($E52,'Product Cost - Price'!$B$5:$B$301,'Product Cost - Price'!$E$5:$E$301),"")</f>
        <v>Standard</v>
      </c>
      <c r="G52" s="203">
        <f>IFERROR(_xlfn.XLOOKUP($E52,'Product Cost - Price'!$B$5:$B$301,'Product Cost - Price'!$G$5:$G$301),"")</f>
        <v>20</v>
      </c>
      <c r="H52" s="204">
        <f>IFERROR(_xlfn.XLOOKUP($E52,'Product Cost - Price'!$B$5:$B$301,'Product Cost - Price'!$L$5:$L$301),"")</f>
        <v>0.69462499999999983</v>
      </c>
      <c r="I52" s="204">
        <f t="shared" si="10"/>
        <v>1444.8199999999997</v>
      </c>
      <c r="J52" s="204">
        <f>IFERROR(_xlfn.XLOOKUP($E52,'Product Cost - Price'!$B$5:$B$301,'Product Cost - Price'!$M$5:$M$301),"")</f>
        <v>5.5E-2</v>
      </c>
      <c r="K52" s="204">
        <f t="shared" si="11"/>
        <v>114.4</v>
      </c>
      <c r="L52" s="204">
        <f>IFERROR(_xlfn.XLOOKUP($E52,'Product Cost - Price'!$B$5:$B$301,'Product Cost - Price'!$N$5:$N$301),"")</f>
        <v>0.04</v>
      </c>
      <c r="M52" s="204">
        <f t="shared" si="12"/>
        <v>83.2</v>
      </c>
      <c r="N52" s="204">
        <f>IFERROR(_xlfn.XLOOKUP($E52,'Product Cost - Price'!$B$5:$B$301,'Product Cost - Price'!$O$5:$O$301),"")</f>
        <v>0</v>
      </c>
      <c r="O52" s="204">
        <f t="shared" si="13"/>
        <v>0</v>
      </c>
      <c r="P52" s="204">
        <f>IFERROR(_xlfn.XLOOKUP($E52,'Product Cost - Price'!$B$5:$B$301,'Product Cost - Price'!$P$5:$P$301),"")</f>
        <v>0.6925</v>
      </c>
      <c r="Q52" s="204">
        <f t="shared" si="14"/>
        <v>72.02</v>
      </c>
      <c r="R52" s="204">
        <f>IFERROR(_xlfn.XLOOKUP($E52,'Product Cost - Price'!$B$5:$B$301,'Product Cost - Price'!$Q$5:$Q$301),"")</f>
        <v>1.4583333333333333</v>
      </c>
      <c r="S52" s="204">
        <f t="shared" si="15"/>
        <v>151.66666666666666</v>
      </c>
      <c r="U52" s="204">
        <f t="shared" si="16"/>
        <v>473.89333333333366</v>
      </c>
      <c r="V52" s="276">
        <f t="shared" si="17"/>
        <v>0.20251851851851865</v>
      </c>
    </row>
    <row r="53" spans="1:22" x14ac:dyDescent="0.3">
      <c r="A53" s="278" t="s">
        <v>683</v>
      </c>
      <c r="B53" s="280">
        <v>43000</v>
      </c>
      <c r="C53" s="279">
        <v>6280</v>
      </c>
      <c r="E53" s="202">
        <f t="shared" si="9"/>
        <v>496354</v>
      </c>
      <c r="F53" s="203" t="str">
        <f>IFERROR(_xlfn.XLOOKUP($E53,'Product Cost - Price'!$B$5:$B$301,'Product Cost - Price'!$E$5:$E$301),"")</f>
        <v>Bulka</v>
      </c>
      <c r="G53" s="203">
        <f>IFERROR(_xlfn.XLOOKUP($E53,'Product Cost - Price'!$B$5:$B$301,'Product Cost - Price'!$G$5:$G$301),"")</f>
        <v>1200</v>
      </c>
      <c r="H53" s="204">
        <f>IFERROR(_xlfn.XLOOKUP($E53,'Product Cost - Price'!$B$5:$B$301,'Product Cost - Price'!$L$5:$L$301),"")</f>
        <v>0</v>
      </c>
      <c r="I53" s="204">
        <f t="shared" si="10"/>
        <v>0</v>
      </c>
      <c r="J53" s="204">
        <f>IFERROR(_xlfn.XLOOKUP($E53,'Product Cost - Price'!$B$5:$B$301,'Product Cost - Price'!$M$5:$M$301),"")</f>
        <v>0</v>
      </c>
      <c r="K53" s="204">
        <f t="shared" si="11"/>
        <v>0</v>
      </c>
      <c r="L53" s="204">
        <f>IFERROR(_xlfn.XLOOKUP($E53,'Product Cost - Price'!$B$5:$B$301,'Product Cost - Price'!$N$5:$N$301),"")</f>
        <v>0</v>
      </c>
      <c r="M53" s="204">
        <f t="shared" si="12"/>
        <v>0</v>
      </c>
      <c r="N53" s="204">
        <f>IFERROR(_xlfn.XLOOKUP($E53,'Product Cost - Price'!$B$5:$B$301,'Product Cost - Price'!$O$5:$O$301),"")</f>
        <v>0</v>
      </c>
      <c r="O53" s="204">
        <f t="shared" si="13"/>
        <v>0</v>
      </c>
      <c r="P53" s="204">
        <f>IFERROR(_xlfn.XLOOKUP($E53,'Product Cost - Price'!$B$5:$B$301,'Product Cost - Price'!$P$5:$P$301),"")</f>
        <v>1.4333333333333333E-2</v>
      </c>
      <c r="Q53" s="204">
        <f t="shared" si="14"/>
        <v>616.33333333333337</v>
      </c>
      <c r="R53" s="204">
        <f>IFERROR(_xlfn.XLOOKUP($E53,'Product Cost - Price'!$B$5:$B$301,'Product Cost - Price'!$Q$5:$Q$301),"")</f>
        <v>0</v>
      </c>
      <c r="S53" s="204">
        <f t="shared" si="15"/>
        <v>0</v>
      </c>
      <c r="U53" s="204">
        <f t="shared" si="16"/>
        <v>5663.666666666667</v>
      </c>
      <c r="V53" s="276">
        <f t="shared" si="17"/>
        <v>0.90185774946921449</v>
      </c>
    </row>
    <row r="54" spans="1:22" x14ac:dyDescent="0.3">
      <c r="A54" s="278" t="s">
        <v>684</v>
      </c>
      <c r="B54" s="278">
        <v>200</v>
      </c>
      <c r="C54" s="279">
        <v>3539.04</v>
      </c>
      <c r="E54" s="202">
        <f t="shared" si="9"/>
        <v>497182</v>
      </c>
      <c r="F54" s="203" t="str">
        <f>IFERROR(_xlfn.XLOOKUP($E54,'Product Cost - Price'!$B$5:$B$301,'Product Cost - Price'!$E$5:$E$301),"")</f>
        <v>Standard</v>
      </c>
      <c r="G54" s="203">
        <f>IFERROR(_xlfn.XLOOKUP($E54,'Product Cost - Price'!$B$5:$B$301,'Product Cost - Price'!$G$5:$G$301),"")</f>
        <v>20</v>
      </c>
      <c r="H54" s="204">
        <f>IFERROR(_xlfn.XLOOKUP($E54,'Product Cost - Price'!$B$5:$B$301,'Product Cost - Price'!$L$5:$L$301),"")</f>
        <v>0.38324999999999998</v>
      </c>
      <c r="I54" s="204">
        <f t="shared" si="10"/>
        <v>1532.9999999999998</v>
      </c>
      <c r="J54" s="204">
        <f>IFERROR(_xlfn.XLOOKUP($E54,'Product Cost - Price'!$B$5:$B$301,'Product Cost - Price'!$M$5:$M$301),"")</f>
        <v>5.5E-2</v>
      </c>
      <c r="K54" s="204">
        <f t="shared" si="11"/>
        <v>220.00000000000003</v>
      </c>
      <c r="L54" s="204">
        <f>IFERROR(_xlfn.XLOOKUP($E54,'Product Cost - Price'!$B$5:$B$301,'Product Cost - Price'!$N$5:$N$301),"")</f>
        <v>0.04</v>
      </c>
      <c r="M54" s="204">
        <f t="shared" si="12"/>
        <v>160</v>
      </c>
      <c r="N54" s="204">
        <f>IFERROR(_xlfn.XLOOKUP($E54,'Product Cost - Price'!$B$5:$B$301,'Product Cost - Price'!$O$5:$O$301),"")</f>
        <v>2.5000000000000001E-2</v>
      </c>
      <c r="O54" s="204">
        <f t="shared" si="13"/>
        <v>100</v>
      </c>
      <c r="P54" s="204">
        <f>IFERROR(_xlfn.XLOOKUP($E54,'Product Cost - Price'!$B$5:$B$301,'Product Cost - Price'!$P$5:$P$301),"")</f>
        <v>0.6925</v>
      </c>
      <c r="Q54" s="204">
        <f t="shared" si="14"/>
        <v>138.5</v>
      </c>
      <c r="R54" s="204">
        <f>IFERROR(_xlfn.XLOOKUP($E54,'Product Cost - Price'!$B$5:$B$301,'Product Cost - Price'!$Q$5:$Q$301),"")</f>
        <v>1.4583333333333333</v>
      </c>
      <c r="S54" s="204">
        <f t="shared" si="15"/>
        <v>291.66666666666663</v>
      </c>
      <c r="U54" s="204">
        <f t="shared" si="16"/>
        <v>1095.8733333333334</v>
      </c>
      <c r="V54" s="276">
        <f t="shared" si="17"/>
        <v>0.30965271184652715</v>
      </c>
    </row>
    <row r="55" spans="1:22" x14ac:dyDescent="0.3">
      <c r="A55" s="278" t="s">
        <v>685</v>
      </c>
      <c r="B55" s="278">
        <v>52</v>
      </c>
      <c r="C55" s="279">
        <v>1289.5999999999999</v>
      </c>
      <c r="E55" s="202">
        <f t="shared" si="9"/>
        <v>501072</v>
      </c>
      <c r="F55" s="203" t="str">
        <f>IFERROR(_xlfn.XLOOKUP($E55,'Product Cost - Price'!$B$5:$B$301,'Product Cost - Price'!$E$5:$E$301),"")</f>
        <v>Standard</v>
      </c>
      <c r="G55" s="203">
        <f>IFERROR(_xlfn.XLOOKUP($E55,'Product Cost - Price'!$B$5:$B$301,'Product Cost - Price'!$G$5:$G$301),"")</f>
        <v>20</v>
      </c>
      <c r="H55" s="204">
        <f>IFERROR(_xlfn.XLOOKUP($E55,'Product Cost - Price'!$B$5:$B$301,'Product Cost - Price'!$L$5:$L$301),"")</f>
        <v>0.64391799999999999</v>
      </c>
      <c r="I55" s="204">
        <f t="shared" si="10"/>
        <v>669.67471999999998</v>
      </c>
      <c r="J55" s="204">
        <f>IFERROR(_xlfn.XLOOKUP($E55,'Product Cost - Price'!$B$5:$B$301,'Product Cost - Price'!$M$5:$M$301),"")</f>
        <v>5.5E-2</v>
      </c>
      <c r="K55" s="204">
        <f t="shared" si="11"/>
        <v>57.2</v>
      </c>
      <c r="L55" s="204">
        <f>IFERROR(_xlfn.XLOOKUP($E55,'Product Cost - Price'!$B$5:$B$301,'Product Cost - Price'!$N$5:$N$301),"")</f>
        <v>0.08</v>
      </c>
      <c r="M55" s="204">
        <f t="shared" si="12"/>
        <v>83.2</v>
      </c>
      <c r="N55" s="204">
        <f>IFERROR(_xlfn.XLOOKUP($E55,'Product Cost - Price'!$B$5:$B$301,'Product Cost - Price'!$O$5:$O$301),"")</f>
        <v>0</v>
      </c>
      <c r="O55" s="204">
        <f t="shared" si="13"/>
        <v>0</v>
      </c>
      <c r="P55" s="204">
        <f>IFERROR(_xlfn.XLOOKUP($E55,'Product Cost - Price'!$B$5:$B$301,'Product Cost - Price'!$P$5:$P$301),"")</f>
        <v>0.6925</v>
      </c>
      <c r="Q55" s="204">
        <f t="shared" si="14"/>
        <v>36.01</v>
      </c>
      <c r="R55" s="204">
        <f>IFERROR(_xlfn.XLOOKUP($E55,'Product Cost - Price'!$B$5:$B$301,'Product Cost - Price'!$Q$5:$Q$301),"")</f>
        <v>1.4583333333333333</v>
      </c>
      <c r="S55" s="204">
        <f t="shared" si="15"/>
        <v>75.833333333333329</v>
      </c>
      <c r="U55" s="204">
        <f t="shared" si="16"/>
        <v>367.68194666666659</v>
      </c>
      <c r="V55" s="276">
        <f t="shared" si="17"/>
        <v>0.28511317204301073</v>
      </c>
    </row>
    <row r="56" spans="1:22" x14ac:dyDescent="0.3">
      <c r="A56" s="278" t="s">
        <v>686</v>
      </c>
      <c r="B56" s="278">
        <v>77</v>
      </c>
      <c r="C56" s="279">
        <v>684.4</v>
      </c>
      <c r="E56" s="202">
        <f t="shared" si="9"/>
        <v>501073</v>
      </c>
      <c r="F56" s="203" t="str">
        <f>IFERROR(_xlfn.XLOOKUP($E56,'Product Cost - Price'!$B$5:$B$301,'Product Cost - Price'!$E$5:$E$301),"")</f>
        <v>Standard</v>
      </c>
      <c r="G56" s="203">
        <f>IFERROR(_xlfn.XLOOKUP($E56,'Product Cost - Price'!$B$5:$B$301,'Product Cost - Price'!$G$5:$G$301),"")</f>
        <v>20</v>
      </c>
      <c r="H56" s="204">
        <f>IFERROR(_xlfn.XLOOKUP($E56,'Product Cost - Price'!$B$5:$B$301,'Product Cost - Price'!$L$5:$L$301),"")</f>
        <v>0.61609016587677723</v>
      </c>
      <c r="I56" s="204">
        <f t="shared" si="10"/>
        <v>948.77885545023685</v>
      </c>
      <c r="J56" s="204">
        <f>IFERROR(_xlfn.XLOOKUP($E56,'Product Cost - Price'!$B$5:$B$301,'Product Cost - Price'!$M$5:$M$301),"")</f>
        <v>5.5E-2</v>
      </c>
      <c r="K56" s="204">
        <f t="shared" si="11"/>
        <v>84.7</v>
      </c>
      <c r="L56" s="204">
        <f>IFERROR(_xlfn.XLOOKUP($E56,'Product Cost - Price'!$B$5:$B$301,'Product Cost - Price'!$N$5:$N$301),"")</f>
        <v>0.08</v>
      </c>
      <c r="M56" s="204">
        <f t="shared" si="12"/>
        <v>123.2</v>
      </c>
      <c r="N56" s="204">
        <f>IFERROR(_xlfn.XLOOKUP($E56,'Product Cost - Price'!$B$5:$B$301,'Product Cost - Price'!$O$5:$O$301),"")</f>
        <v>0</v>
      </c>
      <c r="O56" s="204">
        <f t="shared" si="13"/>
        <v>0</v>
      </c>
      <c r="P56" s="204">
        <f>IFERROR(_xlfn.XLOOKUP($E56,'Product Cost - Price'!$B$5:$B$301,'Product Cost - Price'!$P$5:$P$301),"")</f>
        <v>0.6925</v>
      </c>
      <c r="Q56" s="204">
        <f t="shared" si="14"/>
        <v>53.322499999999998</v>
      </c>
      <c r="R56" s="204">
        <f>IFERROR(_xlfn.XLOOKUP($E56,'Product Cost - Price'!$B$5:$B$301,'Product Cost - Price'!$Q$5:$Q$301),"")</f>
        <v>1.4583333333333333</v>
      </c>
      <c r="S56" s="204">
        <f t="shared" si="15"/>
        <v>112.29166666666666</v>
      </c>
      <c r="U56" s="204">
        <f t="shared" si="16"/>
        <v>-637.89302211690347</v>
      </c>
      <c r="V56" s="276">
        <f t="shared" si="17"/>
        <v>-0.93204708082539955</v>
      </c>
    </row>
    <row r="57" spans="1:22" x14ac:dyDescent="0.3">
      <c r="A57" s="278" t="s">
        <v>687</v>
      </c>
      <c r="B57" s="278">
        <v>342</v>
      </c>
      <c r="C57" s="279">
        <v>4909.6000000000004</v>
      </c>
      <c r="E57" s="202">
        <f t="shared" si="9"/>
        <v>501074</v>
      </c>
      <c r="F57" s="203" t="str">
        <f>IFERROR(_xlfn.XLOOKUP($E57,'Product Cost - Price'!$B$5:$B$301,'Product Cost - Price'!$E$5:$E$301),"")</f>
        <v>Standard</v>
      </c>
      <c r="G57" s="203">
        <f>IFERROR(_xlfn.XLOOKUP($E57,'Product Cost - Price'!$B$5:$B$301,'Product Cost - Price'!$G$5:$G$301),"")</f>
        <v>20</v>
      </c>
      <c r="H57" s="204">
        <f>IFERROR(_xlfn.XLOOKUP($E57,'Product Cost - Price'!$B$5:$B$301,'Product Cost - Price'!$L$5:$L$301),"")</f>
        <v>0.45150000000000001</v>
      </c>
      <c r="I57" s="204">
        <f t="shared" si="10"/>
        <v>3088.26</v>
      </c>
      <c r="J57" s="204">
        <f>IFERROR(_xlfn.XLOOKUP($E57,'Product Cost - Price'!$B$5:$B$301,'Product Cost - Price'!$M$5:$M$301),"")</f>
        <v>5.5E-2</v>
      </c>
      <c r="K57" s="204">
        <f t="shared" si="11"/>
        <v>376.20000000000005</v>
      </c>
      <c r="L57" s="204">
        <f>IFERROR(_xlfn.XLOOKUP($E57,'Product Cost - Price'!$B$5:$B$301,'Product Cost - Price'!$N$5:$N$301),"")</f>
        <v>0.04</v>
      </c>
      <c r="M57" s="204">
        <f t="shared" si="12"/>
        <v>273.60000000000002</v>
      </c>
      <c r="N57" s="204">
        <f>IFERROR(_xlfn.XLOOKUP($E57,'Product Cost - Price'!$B$5:$B$301,'Product Cost - Price'!$O$5:$O$301),"")</f>
        <v>0</v>
      </c>
      <c r="O57" s="204">
        <f t="shared" si="13"/>
        <v>0</v>
      </c>
      <c r="P57" s="204">
        <f>IFERROR(_xlfn.XLOOKUP($E57,'Product Cost - Price'!$B$5:$B$301,'Product Cost - Price'!$P$5:$P$301),"")</f>
        <v>0.6925</v>
      </c>
      <c r="Q57" s="204">
        <f t="shared" si="14"/>
        <v>236.83500000000001</v>
      </c>
      <c r="R57" s="204">
        <f>IFERROR(_xlfn.XLOOKUP($E57,'Product Cost - Price'!$B$5:$B$301,'Product Cost - Price'!$Q$5:$Q$301),"")</f>
        <v>1.4583333333333333</v>
      </c>
      <c r="S57" s="204">
        <f t="shared" si="15"/>
        <v>498.75</v>
      </c>
      <c r="U57" s="204">
        <f t="shared" si="16"/>
        <v>435.95499999999993</v>
      </c>
      <c r="V57" s="276">
        <f t="shared" si="17"/>
        <v>8.8796439628482951E-2</v>
      </c>
    </row>
    <row r="58" spans="1:22" x14ac:dyDescent="0.3">
      <c r="A58" s="278" t="s">
        <v>688</v>
      </c>
      <c r="B58" s="278">
        <v>70</v>
      </c>
      <c r="C58" s="279">
        <v>1708</v>
      </c>
      <c r="E58" s="202">
        <f t="shared" si="9"/>
        <v>501080</v>
      </c>
      <c r="F58" s="203" t="str">
        <f>IFERROR(_xlfn.XLOOKUP($E58,'Product Cost - Price'!$B$5:$B$301,'Product Cost - Price'!$E$5:$E$301),"")</f>
        <v>Standard</v>
      </c>
      <c r="G58" s="203">
        <f>IFERROR(_xlfn.XLOOKUP($E58,'Product Cost - Price'!$B$5:$B$301,'Product Cost - Price'!$G$5:$G$301),"")</f>
        <v>20</v>
      </c>
      <c r="H58" s="204">
        <f>IFERROR(_xlfn.XLOOKUP($E58,'Product Cost - Price'!$B$5:$B$301,'Product Cost - Price'!$L$5:$L$301),"")</f>
        <v>0.64900124999999986</v>
      </c>
      <c r="I58" s="204">
        <f t="shared" si="10"/>
        <v>908.60174999999981</v>
      </c>
      <c r="J58" s="204">
        <f>IFERROR(_xlfn.XLOOKUP($E58,'Product Cost - Price'!$B$5:$B$301,'Product Cost - Price'!$M$5:$M$301),"")</f>
        <v>5.5E-2</v>
      </c>
      <c r="K58" s="204">
        <f t="shared" si="11"/>
        <v>77</v>
      </c>
      <c r="L58" s="204">
        <f>IFERROR(_xlfn.XLOOKUP($E58,'Product Cost - Price'!$B$5:$B$301,'Product Cost - Price'!$N$5:$N$301),"")</f>
        <v>0.08</v>
      </c>
      <c r="M58" s="204">
        <f t="shared" si="12"/>
        <v>112</v>
      </c>
      <c r="N58" s="204">
        <f>IFERROR(_xlfn.XLOOKUP($E58,'Product Cost - Price'!$B$5:$B$301,'Product Cost - Price'!$O$5:$O$301),"")</f>
        <v>0</v>
      </c>
      <c r="O58" s="204">
        <f t="shared" si="13"/>
        <v>0</v>
      </c>
      <c r="P58" s="204">
        <f>IFERROR(_xlfn.XLOOKUP($E58,'Product Cost - Price'!$B$5:$B$301,'Product Cost - Price'!$P$5:$P$301),"")</f>
        <v>0.6925</v>
      </c>
      <c r="Q58" s="204">
        <f t="shared" si="14"/>
        <v>48.475000000000001</v>
      </c>
      <c r="R58" s="204">
        <f>IFERROR(_xlfn.XLOOKUP($E58,'Product Cost - Price'!$B$5:$B$301,'Product Cost - Price'!$Q$5:$Q$301),"")</f>
        <v>1.4583333333333333</v>
      </c>
      <c r="S58" s="204">
        <f t="shared" si="15"/>
        <v>102.08333333333333</v>
      </c>
      <c r="U58" s="204">
        <f t="shared" si="16"/>
        <v>459.83991666666685</v>
      </c>
      <c r="V58" s="276">
        <f t="shared" si="17"/>
        <v>0.26922711748633893</v>
      </c>
    </row>
    <row r="59" spans="1:22" x14ac:dyDescent="0.3">
      <c r="A59" s="278" t="s">
        <v>689</v>
      </c>
      <c r="B59" s="278">
        <v>2</v>
      </c>
      <c r="C59" s="279">
        <v>56</v>
      </c>
      <c r="E59" s="202">
        <f t="shared" si="9"/>
        <v>501775</v>
      </c>
      <c r="F59" s="203" t="str">
        <f>IFERROR(_xlfn.XLOOKUP($E59,'Product Cost - Price'!$B$5:$B$301,'Product Cost - Price'!$E$5:$E$301),"")</f>
        <v>Standard</v>
      </c>
      <c r="G59" s="203">
        <f>IFERROR(_xlfn.XLOOKUP($E59,'Product Cost - Price'!$B$5:$B$301,'Product Cost - Price'!$G$5:$G$301),"")</f>
        <v>20</v>
      </c>
      <c r="H59" s="204">
        <f>IFERROR(_xlfn.XLOOKUP($E59,'Product Cost - Price'!$B$5:$B$301,'Product Cost - Price'!$L$5:$L$301),"")</f>
        <v>0.90449999999999997</v>
      </c>
      <c r="I59" s="204">
        <f t="shared" si="10"/>
        <v>36.18</v>
      </c>
      <c r="J59" s="204">
        <f>IFERROR(_xlfn.XLOOKUP($E59,'Product Cost - Price'!$B$5:$B$301,'Product Cost - Price'!$M$5:$M$301),"")</f>
        <v>5.5E-2</v>
      </c>
      <c r="K59" s="204">
        <f t="shared" si="11"/>
        <v>2.2000000000000002</v>
      </c>
      <c r="L59" s="204">
        <f>IFERROR(_xlfn.XLOOKUP($E59,'Product Cost - Price'!$B$5:$B$301,'Product Cost - Price'!$N$5:$N$301),"")</f>
        <v>0.04</v>
      </c>
      <c r="M59" s="204">
        <f t="shared" si="12"/>
        <v>1.6</v>
      </c>
      <c r="N59" s="204">
        <f>IFERROR(_xlfn.XLOOKUP($E59,'Product Cost - Price'!$B$5:$B$301,'Product Cost - Price'!$O$5:$O$301),"")</f>
        <v>0</v>
      </c>
      <c r="O59" s="204">
        <f t="shared" si="13"/>
        <v>0</v>
      </c>
      <c r="P59" s="204">
        <f>IFERROR(_xlfn.XLOOKUP($E59,'Product Cost - Price'!$B$5:$B$301,'Product Cost - Price'!$P$5:$P$301),"")</f>
        <v>0.6925</v>
      </c>
      <c r="Q59" s="204">
        <f t="shared" si="14"/>
        <v>1.385</v>
      </c>
      <c r="R59" s="204">
        <f>IFERROR(_xlfn.XLOOKUP($E59,'Product Cost - Price'!$B$5:$B$301,'Product Cost - Price'!$Q$5:$Q$301),"")</f>
        <v>1.4583333333333333</v>
      </c>
      <c r="S59" s="204">
        <f t="shared" si="15"/>
        <v>2.9166666666666665</v>
      </c>
      <c r="U59" s="204">
        <f t="shared" si="16"/>
        <v>11.718333333333334</v>
      </c>
      <c r="V59" s="276">
        <f t="shared" si="17"/>
        <v>0.20925595238095238</v>
      </c>
    </row>
    <row r="60" spans="1:22" x14ac:dyDescent="0.3">
      <c r="A60" s="278" t="s">
        <v>690</v>
      </c>
      <c r="B60" s="280">
        <v>103200</v>
      </c>
      <c r="C60" s="279">
        <v>13416</v>
      </c>
      <c r="E60" s="202">
        <f t="shared" si="9"/>
        <v>503017</v>
      </c>
      <c r="F60" s="203" t="str">
        <f>IFERROR(_xlfn.XLOOKUP($E60,'Product Cost - Price'!$B$5:$B$301,'Product Cost - Price'!$E$5:$E$301),"")</f>
        <v>Bulka</v>
      </c>
      <c r="G60" s="203">
        <f>IFERROR(_xlfn.XLOOKUP($E60,'Product Cost - Price'!$B$5:$B$301,'Product Cost - Price'!$G$5:$G$301),"")</f>
        <v>1200</v>
      </c>
      <c r="H60" s="204">
        <f>IFERROR(_xlfn.XLOOKUP($E60,'Product Cost - Price'!$B$5:$B$301,'Product Cost - Price'!$L$5:$L$301),"")</f>
        <v>0</v>
      </c>
      <c r="I60" s="204">
        <f t="shared" si="10"/>
        <v>0</v>
      </c>
      <c r="J60" s="204">
        <f>IFERROR(_xlfn.XLOOKUP($E60,'Product Cost - Price'!$B$5:$B$301,'Product Cost - Price'!$M$5:$M$301),"")</f>
        <v>0</v>
      </c>
      <c r="K60" s="204">
        <f t="shared" si="11"/>
        <v>0</v>
      </c>
      <c r="L60" s="204">
        <f>IFERROR(_xlfn.XLOOKUP($E60,'Product Cost - Price'!$B$5:$B$301,'Product Cost - Price'!$N$5:$N$301),"")</f>
        <v>0</v>
      </c>
      <c r="M60" s="204">
        <f t="shared" si="12"/>
        <v>0</v>
      </c>
      <c r="N60" s="204">
        <f>IFERROR(_xlfn.XLOOKUP($E60,'Product Cost - Price'!$B$5:$B$301,'Product Cost - Price'!$O$5:$O$301),"")</f>
        <v>0</v>
      </c>
      <c r="O60" s="204">
        <f t="shared" si="13"/>
        <v>0</v>
      </c>
      <c r="P60" s="204">
        <f>IFERROR(_xlfn.XLOOKUP($E60,'Product Cost - Price'!$B$5:$B$301,'Product Cost - Price'!$P$5:$P$301),"")</f>
        <v>1.4333333333333333E-2</v>
      </c>
      <c r="Q60" s="204">
        <f t="shared" si="14"/>
        <v>1479.2</v>
      </c>
      <c r="R60" s="204">
        <f>IFERROR(_xlfn.XLOOKUP($E60,'Product Cost - Price'!$B$5:$B$301,'Product Cost - Price'!$Q$5:$Q$301),"")</f>
        <v>0</v>
      </c>
      <c r="S60" s="204">
        <f t="shared" si="15"/>
        <v>0</v>
      </c>
      <c r="U60" s="204">
        <f t="shared" si="16"/>
        <v>11936.8</v>
      </c>
      <c r="V60" s="276">
        <f t="shared" si="17"/>
        <v>0.88974358974358969</v>
      </c>
    </row>
    <row r="61" spans="1:22" x14ac:dyDescent="0.3">
      <c r="A61" s="278" t="s">
        <v>691</v>
      </c>
      <c r="B61" s="280">
        <v>1000</v>
      </c>
      <c r="C61" s="279">
        <v>700</v>
      </c>
      <c r="E61" s="202">
        <f t="shared" si="9"/>
        <v>503634</v>
      </c>
      <c r="F61" s="203" t="str">
        <f>IFERROR(_xlfn.XLOOKUP($E61,'Product Cost - Price'!$B$5:$B$301,'Product Cost - Price'!$E$5:$E$301),"")</f>
        <v>Bulka</v>
      </c>
      <c r="G61" s="203">
        <f>IFERROR(_xlfn.XLOOKUP($E61,'Product Cost - Price'!$B$5:$B$301,'Product Cost - Price'!$G$5:$G$301),"")</f>
        <v>1000</v>
      </c>
      <c r="H61" s="204">
        <f>IFERROR(_xlfn.XLOOKUP($E61,'Product Cost - Price'!$B$5:$B$301,'Product Cost - Price'!$L$5:$L$301),"")</f>
        <v>0.35385</v>
      </c>
      <c r="I61" s="204">
        <f t="shared" si="10"/>
        <v>353.85</v>
      </c>
      <c r="J61" s="204">
        <f>IFERROR(_xlfn.XLOOKUP($E61,'Product Cost - Price'!$B$5:$B$301,'Product Cost - Price'!$M$5:$M$301),"")</f>
        <v>5.5E-2</v>
      </c>
      <c r="K61" s="204">
        <f t="shared" si="11"/>
        <v>55</v>
      </c>
      <c r="L61" s="204">
        <f>IFERROR(_xlfn.XLOOKUP($E61,'Product Cost - Price'!$B$5:$B$301,'Product Cost - Price'!$N$5:$N$301),"")</f>
        <v>0.04</v>
      </c>
      <c r="M61" s="204">
        <f t="shared" si="12"/>
        <v>40</v>
      </c>
      <c r="N61" s="204">
        <f>IFERROR(_xlfn.XLOOKUP($E61,'Product Cost - Price'!$B$5:$B$301,'Product Cost - Price'!$O$5:$O$301),"")</f>
        <v>0</v>
      </c>
      <c r="O61" s="204">
        <f t="shared" si="13"/>
        <v>0</v>
      </c>
      <c r="P61" s="204">
        <f>IFERROR(_xlfn.XLOOKUP($E61,'Product Cost - Price'!$B$5:$B$301,'Product Cost - Price'!$P$5:$P$301),"")</f>
        <v>1.72E-2</v>
      </c>
      <c r="Q61" s="204">
        <f t="shared" si="14"/>
        <v>17.2</v>
      </c>
      <c r="R61" s="204">
        <f>IFERROR(_xlfn.XLOOKUP($E61,'Product Cost - Price'!$B$5:$B$301,'Product Cost - Price'!$Q$5:$Q$301),"")</f>
        <v>7.0000000000000007E-2</v>
      </c>
      <c r="S61" s="204">
        <f t="shared" si="15"/>
        <v>70</v>
      </c>
      <c r="U61" s="204">
        <f t="shared" si="16"/>
        <v>163.95</v>
      </c>
      <c r="V61" s="276">
        <f t="shared" si="17"/>
        <v>0.23421428571428571</v>
      </c>
    </row>
    <row r="62" spans="1:22" x14ac:dyDescent="0.3">
      <c r="A62" s="278" t="s">
        <v>692</v>
      </c>
      <c r="B62" s="278">
        <v>800</v>
      </c>
      <c r="C62" s="279">
        <v>1440</v>
      </c>
      <c r="E62" s="202">
        <f t="shared" si="9"/>
        <v>503636</v>
      </c>
      <c r="F62" s="203" t="str">
        <f>IFERROR(_xlfn.XLOOKUP($E62,'Product Cost - Price'!$B$5:$B$301,'Product Cost - Price'!$E$5:$E$301),"")</f>
        <v>Bulka</v>
      </c>
      <c r="G62" s="203">
        <f>IFERROR(_xlfn.XLOOKUP($E62,'Product Cost - Price'!$B$5:$B$301,'Product Cost - Price'!$G$5:$G$301),"")</f>
        <v>800</v>
      </c>
      <c r="H62" s="204">
        <f>IFERROR(_xlfn.XLOOKUP($E62,'Product Cost - Price'!$B$5:$B$301,'Product Cost - Price'!$L$5:$L$301),"")</f>
        <v>1.1655</v>
      </c>
      <c r="I62" s="204">
        <f t="shared" si="10"/>
        <v>932.4</v>
      </c>
      <c r="J62" s="204">
        <f>IFERROR(_xlfn.XLOOKUP($E62,'Product Cost - Price'!$B$5:$B$301,'Product Cost - Price'!$M$5:$M$301),"")</f>
        <v>5.5E-2</v>
      </c>
      <c r="K62" s="204">
        <f t="shared" si="11"/>
        <v>44</v>
      </c>
      <c r="L62" s="204">
        <f>IFERROR(_xlfn.XLOOKUP($E62,'Product Cost - Price'!$B$5:$B$301,'Product Cost - Price'!$N$5:$N$301),"")</f>
        <v>0.04</v>
      </c>
      <c r="M62" s="204">
        <f t="shared" si="12"/>
        <v>32</v>
      </c>
      <c r="N62" s="204">
        <f>IFERROR(_xlfn.XLOOKUP($E62,'Product Cost - Price'!$B$5:$B$301,'Product Cost - Price'!$O$5:$O$301),"")</f>
        <v>0</v>
      </c>
      <c r="O62" s="204">
        <f t="shared" si="13"/>
        <v>0</v>
      </c>
      <c r="P62" s="204">
        <f>IFERROR(_xlfn.XLOOKUP($E62,'Product Cost - Price'!$B$5:$B$301,'Product Cost - Price'!$P$5:$P$301),"")</f>
        <v>2.1499999999999998E-2</v>
      </c>
      <c r="Q62" s="204">
        <f t="shared" si="14"/>
        <v>17.2</v>
      </c>
      <c r="R62" s="204">
        <f>IFERROR(_xlfn.XLOOKUP($E62,'Product Cost - Price'!$B$5:$B$301,'Product Cost - Price'!$Q$5:$Q$301),"")</f>
        <v>8.7499999999999994E-2</v>
      </c>
      <c r="S62" s="204">
        <f t="shared" si="15"/>
        <v>70</v>
      </c>
      <c r="U62" s="204">
        <f t="shared" si="16"/>
        <v>344.40000000000003</v>
      </c>
      <c r="V62" s="276">
        <f t="shared" si="17"/>
        <v>0.23916666666666669</v>
      </c>
    </row>
    <row r="63" spans="1:22" x14ac:dyDescent="0.3">
      <c r="A63" s="278" t="s">
        <v>693</v>
      </c>
      <c r="B63" s="280">
        <v>1200</v>
      </c>
      <c r="C63" s="279">
        <v>1680</v>
      </c>
      <c r="E63" s="202">
        <f t="shared" si="9"/>
        <v>503637</v>
      </c>
      <c r="F63" s="203" t="str">
        <f>IFERROR(_xlfn.XLOOKUP($E63,'Product Cost - Price'!$B$5:$B$301,'Product Cost - Price'!$E$5:$E$301),"")</f>
        <v>Bulka</v>
      </c>
      <c r="G63" s="203">
        <f>IFERROR(_xlfn.XLOOKUP($E63,'Product Cost - Price'!$B$5:$B$301,'Product Cost - Price'!$G$5:$G$301),"")</f>
        <v>1000</v>
      </c>
      <c r="H63" s="204">
        <f>IFERROR(_xlfn.XLOOKUP($E63,'Product Cost - Price'!$B$5:$B$301,'Product Cost - Price'!$L$5:$L$301),"")</f>
        <v>0.88200000000000001</v>
      </c>
      <c r="I63" s="204">
        <f t="shared" si="10"/>
        <v>1058.4000000000001</v>
      </c>
      <c r="J63" s="204">
        <f>IFERROR(_xlfn.XLOOKUP($E63,'Product Cost - Price'!$B$5:$B$301,'Product Cost - Price'!$M$5:$M$301),"")</f>
        <v>5.5E-2</v>
      </c>
      <c r="K63" s="204">
        <f t="shared" si="11"/>
        <v>66</v>
      </c>
      <c r="L63" s="204">
        <f>IFERROR(_xlfn.XLOOKUP($E63,'Product Cost - Price'!$B$5:$B$301,'Product Cost - Price'!$N$5:$N$301),"")</f>
        <v>0.04</v>
      </c>
      <c r="M63" s="204">
        <f t="shared" si="12"/>
        <v>48</v>
      </c>
      <c r="N63" s="204">
        <f>IFERROR(_xlfn.XLOOKUP($E63,'Product Cost - Price'!$B$5:$B$301,'Product Cost - Price'!$O$5:$O$301),"")</f>
        <v>0</v>
      </c>
      <c r="O63" s="204">
        <f t="shared" si="13"/>
        <v>0</v>
      </c>
      <c r="P63" s="204">
        <f>IFERROR(_xlfn.XLOOKUP($E63,'Product Cost - Price'!$B$5:$B$301,'Product Cost - Price'!$P$5:$P$301),"")</f>
        <v>1.72E-2</v>
      </c>
      <c r="Q63" s="204">
        <f t="shared" si="14"/>
        <v>20.64</v>
      </c>
      <c r="R63" s="204">
        <f>IFERROR(_xlfn.XLOOKUP($E63,'Product Cost - Price'!$B$5:$B$301,'Product Cost - Price'!$Q$5:$Q$301),"")</f>
        <v>7.0000000000000007E-2</v>
      </c>
      <c r="S63" s="204">
        <f t="shared" si="15"/>
        <v>84.000000000000014</v>
      </c>
      <c r="U63" s="204">
        <f t="shared" si="16"/>
        <v>402.95999999999992</v>
      </c>
      <c r="V63" s="276">
        <f t="shared" si="17"/>
        <v>0.23985714285714282</v>
      </c>
    </row>
    <row r="64" spans="1:22" x14ac:dyDescent="0.3">
      <c r="A64" s="278" t="s">
        <v>694</v>
      </c>
      <c r="B64" s="278">
        <v>181</v>
      </c>
      <c r="C64" s="279">
        <v>4850.8</v>
      </c>
      <c r="E64" s="202">
        <f t="shared" si="9"/>
        <v>503638</v>
      </c>
      <c r="F64" s="203" t="str">
        <f>IFERROR(_xlfn.XLOOKUP($E64,'Product Cost - Price'!$B$5:$B$301,'Product Cost - Price'!$E$5:$E$301),"")</f>
        <v>Standard</v>
      </c>
      <c r="G64" s="203">
        <f>IFERROR(_xlfn.XLOOKUP($E64,'Product Cost - Price'!$B$5:$B$301,'Product Cost - Price'!$G$5:$G$301),"")</f>
        <v>20</v>
      </c>
      <c r="H64" s="204">
        <f>IFERROR(_xlfn.XLOOKUP($E64,'Product Cost - Price'!$B$5:$B$301,'Product Cost - Price'!$L$5:$L$301),"")</f>
        <v>0.72798786407766991</v>
      </c>
      <c r="I64" s="204">
        <f t="shared" si="10"/>
        <v>2635.3160679611651</v>
      </c>
      <c r="J64" s="204">
        <f>IFERROR(_xlfn.XLOOKUP($E64,'Product Cost - Price'!$B$5:$B$301,'Product Cost - Price'!$M$5:$M$301),"")</f>
        <v>5.5E-2</v>
      </c>
      <c r="K64" s="204">
        <f t="shared" si="11"/>
        <v>199.10000000000002</v>
      </c>
      <c r="L64" s="204">
        <f>IFERROR(_xlfn.XLOOKUP($E64,'Product Cost - Price'!$B$5:$B$301,'Product Cost - Price'!$N$5:$N$301),"")</f>
        <v>0.08</v>
      </c>
      <c r="M64" s="204">
        <f t="shared" si="12"/>
        <v>289.60000000000002</v>
      </c>
      <c r="N64" s="204">
        <f>IFERROR(_xlfn.XLOOKUP($E64,'Product Cost - Price'!$B$5:$B$301,'Product Cost - Price'!$O$5:$O$301),"")</f>
        <v>0</v>
      </c>
      <c r="O64" s="204">
        <f t="shared" si="13"/>
        <v>0</v>
      </c>
      <c r="P64" s="204">
        <f>IFERROR(_xlfn.XLOOKUP($E64,'Product Cost - Price'!$B$5:$B$301,'Product Cost - Price'!$P$5:$P$301),"")</f>
        <v>0.6925</v>
      </c>
      <c r="Q64" s="204">
        <f t="shared" si="14"/>
        <v>125.3425</v>
      </c>
      <c r="R64" s="204">
        <f>IFERROR(_xlfn.XLOOKUP($E64,'Product Cost - Price'!$B$5:$B$301,'Product Cost - Price'!$Q$5:$Q$301),"")</f>
        <v>1.4583333333333333</v>
      </c>
      <c r="S64" s="204">
        <f t="shared" si="15"/>
        <v>263.95833333333331</v>
      </c>
      <c r="U64" s="204">
        <f t="shared" si="16"/>
        <v>1337.483098705502</v>
      </c>
      <c r="V64" s="276">
        <f t="shared" si="17"/>
        <v>0.27572423078780861</v>
      </c>
    </row>
    <row r="65" spans="1:22" x14ac:dyDescent="0.3">
      <c r="A65" s="278" t="s">
        <v>695</v>
      </c>
      <c r="B65" s="278">
        <v>550</v>
      </c>
      <c r="C65" s="279">
        <v>1155</v>
      </c>
      <c r="E65" s="202">
        <f t="shared" si="9"/>
        <v>509150</v>
      </c>
      <c r="F65" s="203" t="str">
        <f>IFERROR(_xlfn.XLOOKUP($E65,'Product Cost - Price'!$B$5:$B$301,'Product Cost - Price'!$E$5:$E$301),"")</f>
        <v>Bulka</v>
      </c>
      <c r="G65" s="203">
        <f>IFERROR(_xlfn.XLOOKUP($E65,'Product Cost - Price'!$B$5:$B$301,'Product Cost - Price'!$G$5:$G$301),"")</f>
        <v>550</v>
      </c>
      <c r="H65" s="204">
        <f>IFERROR(_xlfn.XLOOKUP($E65,'Product Cost - Price'!$B$5:$B$301,'Product Cost - Price'!$L$5:$L$301),"")</f>
        <v>1.4742</v>
      </c>
      <c r="I65" s="204">
        <f t="shared" si="10"/>
        <v>810.81</v>
      </c>
      <c r="J65" s="204">
        <f>IFERROR(_xlfn.XLOOKUP($E65,'Product Cost - Price'!$B$5:$B$301,'Product Cost - Price'!$M$5:$M$301),"")</f>
        <v>5.5E-2</v>
      </c>
      <c r="K65" s="204">
        <f t="shared" si="11"/>
        <v>30.25</v>
      </c>
      <c r="L65" s="204">
        <f>IFERROR(_xlfn.XLOOKUP($E65,'Product Cost - Price'!$B$5:$B$301,'Product Cost - Price'!$N$5:$N$301),"")</f>
        <v>0.04</v>
      </c>
      <c r="M65" s="204">
        <f t="shared" si="12"/>
        <v>22</v>
      </c>
      <c r="N65" s="204">
        <f>IFERROR(_xlfn.XLOOKUP($E65,'Product Cost - Price'!$B$5:$B$301,'Product Cost - Price'!$O$5:$O$301),"")</f>
        <v>0</v>
      </c>
      <c r="O65" s="204">
        <f t="shared" si="13"/>
        <v>0</v>
      </c>
      <c r="P65" s="204">
        <f>IFERROR(_xlfn.XLOOKUP($E65,'Product Cost - Price'!$B$5:$B$301,'Product Cost - Price'!$P$5:$P$301),"")</f>
        <v>3.1272727272727271E-2</v>
      </c>
      <c r="Q65" s="204">
        <f t="shared" si="14"/>
        <v>17.2</v>
      </c>
      <c r="R65" s="204">
        <f>IFERROR(_xlfn.XLOOKUP($E65,'Product Cost - Price'!$B$5:$B$301,'Product Cost - Price'!$Q$5:$Q$301),"")</f>
        <v>0.12727272727272726</v>
      </c>
      <c r="S65" s="204">
        <f t="shared" si="15"/>
        <v>69.999999999999986</v>
      </c>
      <c r="U65" s="204">
        <f t="shared" si="16"/>
        <v>204.74000000000007</v>
      </c>
      <c r="V65" s="276">
        <f t="shared" si="17"/>
        <v>0.17726406926406932</v>
      </c>
    </row>
    <row r="66" spans="1:22" x14ac:dyDescent="0.3">
      <c r="A66" s="278" t="s">
        <v>696</v>
      </c>
      <c r="B66" s="278">
        <v>27</v>
      </c>
      <c r="C66" s="279">
        <v>1720</v>
      </c>
      <c r="E66" s="202">
        <f t="shared" si="9"/>
        <v>514492</v>
      </c>
      <c r="F66" s="203" t="str">
        <f>IFERROR(_xlfn.XLOOKUP($E66,'Product Cost - Price'!$B$5:$B$301,'Product Cost - Price'!$E$5:$E$301),"")</f>
        <v>Bulka</v>
      </c>
      <c r="G66" s="203">
        <f>IFERROR(_xlfn.XLOOKUP($E66,'Product Cost - Price'!$B$5:$B$301,'Product Cost - Price'!$G$5:$G$301),"")</f>
        <v>1000</v>
      </c>
      <c r="H66" s="204">
        <f>IFERROR(_xlfn.XLOOKUP($E66,'Product Cost - Price'!$B$5:$B$301,'Product Cost - Price'!$L$5:$L$301),"")</f>
        <v>0</v>
      </c>
      <c r="I66" s="204">
        <f t="shared" si="10"/>
        <v>0</v>
      </c>
      <c r="J66" s="204">
        <f>IFERROR(_xlfn.XLOOKUP($E66,'Product Cost - Price'!$B$5:$B$301,'Product Cost - Price'!$M$5:$M$301),"")</f>
        <v>0</v>
      </c>
      <c r="K66" s="204">
        <f t="shared" si="11"/>
        <v>0</v>
      </c>
      <c r="L66" s="204">
        <f>IFERROR(_xlfn.XLOOKUP($E66,'Product Cost - Price'!$B$5:$B$301,'Product Cost - Price'!$N$5:$N$301),"")</f>
        <v>0</v>
      </c>
      <c r="M66" s="204">
        <f t="shared" si="12"/>
        <v>0</v>
      </c>
      <c r="N66" s="204">
        <f>IFERROR(_xlfn.XLOOKUP($E66,'Product Cost - Price'!$B$5:$B$301,'Product Cost - Price'!$O$5:$O$301),"")</f>
        <v>0</v>
      </c>
      <c r="O66" s="204">
        <f t="shared" si="13"/>
        <v>0</v>
      </c>
      <c r="P66" s="204">
        <f>IFERROR(_xlfn.XLOOKUP($E66,'Product Cost - Price'!$B$5:$B$301,'Product Cost - Price'!$P$5:$P$301),"")</f>
        <v>1.72E-2</v>
      </c>
      <c r="Q66" s="204">
        <f t="shared" si="14"/>
        <v>0.46439999999999998</v>
      </c>
      <c r="R66" s="204">
        <f>IFERROR(_xlfn.XLOOKUP($E66,'Product Cost - Price'!$B$5:$B$301,'Product Cost - Price'!$Q$5:$Q$301),"")</f>
        <v>0</v>
      </c>
      <c r="S66" s="204">
        <f t="shared" si="15"/>
        <v>0</v>
      </c>
      <c r="U66" s="204">
        <f t="shared" si="16"/>
        <v>1719.5355999999999</v>
      </c>
      <c r="V66" s="276">
        <f t="shared" si="17"/>
        <v>0.99973000000000001</v>
      </c>
    </row>
    <row r="67" spans="1:22" x14ac:dyDescent="0.3">
      <c r="A67" s="278" t="s">
        <v>697</v>
      </c>
      <c r="B67" s="278">
        <v>105</v>
      </c>
      <c r="C67" s="279">
        <v>2257.5</v>
      </c>
      <c r="E67" s="202">
        <f t="shared" si="9"/>
        <v>516886</v>
      </c>
      <c r="F67" s="203" t="str">
        <f>IFERROR(_xlfn.XLOOKUP($E67,'Product Cost - Price'!$B$5:$B$301,'Product Cost - Price'!$E$5:$E$301),"")</f>
        <v>Standard</v>
      </c>
      <c r="G67" s="203">
        <f>IFERROR(_xlfn.XLOOKUP($E67,'Product Cost - Price'!$B$5:$B$301,'Product Cost - Price'!$G$5:$G$301),"")</f>
        <v>20</v>
      </c>
      <c r="H67" s="204">
        <f>IFERROR(_xlfn.XLOOKUP($E67,'Product Cost - Price'!$B$5:$B$301,'Product Cost - Price'!$L$5:$L$301),"")</f>
        <v>0.93921177685950408</v>
      </c>
      <c r="I67" s="204">
        <f t="shared" si="10"/>
        <v>1972.3447314049586</v>
      </c>
      <c r="J67" s="204">
        <f>IFERROR(_xlfn.XLOOKUP($E67,'Product Cost - Price'!$B$5:$B$301,'Product Cost - Price'!$M$5:$M$301),"")</f>
        <v>5.5E-2</v>
      </c>
      <c r="K67" s="204">
        <f t="shared" si="11"/>
        <v>115.50000000000001</v>
      </c>
      <c r="L67" s="204">
        <f>IFERROR(_xlfn.XLOOKUP($E67,'Product Cost - Price'!$B$5:$B$301,'Product Cost - Price'!$N$5:$N$301),"")</f>
        <v>0.08</v>
      </c>
      <c r="M67" s="204">
        <f t="shared" si="12"/>
        <v>168</v>
      </c>
      <c r="N67" s="204">
        <f>IFERROR(_xlfn.XLOOKUP($E67,'Product Cost - Price'!$B$5:$B$301,'Product Cost - Price'!$O$5:$O$301),"")</f>
        <v>0</v>
      </c>
      <c r="O67" s="204">
        <f t="shared" si="13"/>
        <v>0</v>
      </c>
      <c r="P67" s="204">
        <f>IFERROR(_xlfn.XLOOKUP($E67,'Product Cost - Price'!$B$5:$B$301,'Product Cost - Price'!$P$5:$P$301),"")</f>
        <v>0.6925</v>
      </c>
      <c r="Q67" s="204">
        <f t="shared" si="14"/>
        <v>72.712500000000006</v>
      </c>
      <c r="R67" s="204">
        <f>IFERROR(_xlfn.XLOOKUP($E67,'Product Cost - Price'!$B$5:$B$301,'Product Cost - Price'!$Q$5:$Q$301),"")</f>
        <v>1.4583333333333333</v>
      </c>
      <c r="S67" s="204">
        <f t="shared" si="15"/>
        <v>153.125</v>
      </c>
      <c r="U67" s="204">
        <f t="shared" si="16"/>
        <v>-224.18223140495857</v>
      </c>
      <c r="V67" s="276">
        <f t="shared" si="17"/>
        <v>-9.9305528861554179E-2</v>
      </c>
    </row>
    <row r="68" spans="1:22" x14ac:dyDescent="0.3">
      <c r="A68" s="278" t="s">
        <v>698</v>
      </c>
      <c r="B68" s="278">
        <v>164</v>
      </c>
      <c r="C68" s="279">
        <v>3909.28</v>
      </c>
      <c r="E68" s="202">
        <f t="shared" si="9"/>
        <v>516887</v>
      </c>
      <c r="F68" s="203" t="str">
        <f>IFERROR(_xlfn.XLOOKUP($E68,'Product Cost - Price'!$B$5:$B$301,'Product Cost - Price'!$E$5:$E$301),"")</f>
        <v>Standard</v>
      </c>
      <c r="G68" s="203">
        <f>IFERROR(_xlfn.XLOOKUP($E68,'Product Cost - Price'!$B$5:$B$301,'Product Cost - Price'!$G$5:$G$301),"")</f>
        <v>20</v>
      </c>
      <c r="H68" s="204">
        <f>IFERROR(_xlfn.XLOOKUP($E68,'Product Cost - Price'!$B$5:$B$301,'Product Cost - Price'!$L$5:$L$301),"")</f>
        <v>0.77700000000000002</v>
      </c>
      <c r="I68" s="204">
        <f t="shared" si="10"/>
        <v>2548.56</v>
      </c>
      <c r="J68" s="204">
        <f>IFERROR(_xlfn.XLOOKUP($E68,'Product Cost - Price'!$B$5:$B$301,'Product Cost - Price'!$M$5:$M$301),"")</f>
        <v>5.5E-2</v>
      </c>
      <c r="K68" s="204">
        <f t="shared" si="11"/>
        <v>180.4</v>
      </c>
      <c r="L68" s="204">
        <f>IFERROR(_xlfn.XLOOKUP($E68,'Product Cost - Price'!$B$5:$B$301,'Product Cost - Price'!$N$5:$N$301),"")</f>
        <v>0.04</v>
      </c>
      <c r="M68" s="204">
        <f t="shared" si="12"/>
        <v>131.20000000000002</v>
      </c>
      <c r="N68" s="204">
        <f>IFERROR(_xlfn.XLOOKUP($E68,'Product Cost - Price'!$B$5:$B$301,'Product Cost - Price'!$O$5:$O$301),"")</f>
        <v>2.5000000000000001E-2</v>
      </c>
      <c r="O68" s="204">
        <f t="shared" si="13"/>
        <v>82</v>
      </c>
      <c r="P68" s="204">
        <f>IFERROR(_xlfn.XLOOKUP($E68,'Product Cost - Price'!$B$5:$B$301,'Product Cost - Price'!$P$5:$P$301),"")</f>
        <v>0.6925</v>
      </c>
      <c r="Q68" s="204">
        <f t="shared" si="14"/>
        <v>113.57000000000001</v>
      </c>
      <c r="R68" s="204">
        <f>IFERROR(_xlfn.XLOOKUP($E68,'Product Cost - Price'!$B$5:$B$301,'Product Cost - Price'!$Q$5:$Q$301),"")</f>
        <v>1.4583333333333333</v>
      </c>
      <c r="S68" s="204">
        <f t="shared" si="15"/>
        <v>239.16666666666666</v>
      </c>
      <c r="U68" s="204">
        <f t="shared" si="16"/>
        <v>614.38333333333344</v>
      </c>
      <c r="V68" s="276">
        <f t="shared" si="17"/>
        <v>0.15716022728823043</v>
      </c>
    </row>
    <row r="69" spans="1:22" x14ac:dyDescent="0.3">
      <c r="A69" s="278" t="s">
        <v>699</v>
      </c>
      <c r="B69" s="278">
        <v>50</v>
      </c>
      <c r="C69" s="279">
        <v>1153.8800000000001</v>
      </c>
      <c r="E69" s="202">
        <f t="shared" si="9"/>
        <v>520015</v>
      </c>
      <c r="F69" s="203" t="str">
        <f>IFERROR(_xlfn.XLOOKUP($E69,'Product Cost - Price'!$B$5:$B$301,'Product Cost - Price'!$E$5:$E$301),"")</f>
        <v>Standard</v>
      </c>
      <c r="G69" s="203">
        <f>IFERROR(_xlfn.XLOOKUP($E69,'Product Cost - Price'!$B$5:$B$301,'Product Cost - Price'!$G$5:$G$301),"")</f>
        <v>20</v>
      </c>
      <c r="H69" s="204">
        <f>IFERROR(_xlfn.XLOOKUP($E69,'Product Cost - Price'!$B$5:$B$301,'Product Cost - Price'!$L$5:$L$301),"")</f>
        <v>0.77700000000000002</v>
      </c>
      <c r="I69" s="204">
        <f t="shared" si="10"/>
        <v>777</v>
      </c>
      <c r="J69" s="204">
        <f>IFERROR(_xlfn.XLOOKUP($E69,'Product Cost - Price'!$B$5:$B$301,'Product Cost - Price'!$M$5:$M$301),"")</f>
        <v>5.5E-2</v>
      </c>
      <c r="K69" s="204">
        <f t="shared" si="11"/>
        <v>55.000000000000007</v>
      </c>
      <c r="L69" s="204">
        <f>IFERROR(_xlfn.XLOOKUP($E69,'Product Cost - Price'!$B$5:$B$301,'Product Cost - Price'!$N$5:$N$301),"")</f>
        <v>0.04</v>
      </c>
      <c r="M69" s="204">
        <f t="shared" si="12"/>
        <v>40</v>
      </c>
      <c r="N69" s="204">
        <f>IFERROR(_xlfn.XLOOKUP($E69,'Product Cost - Price'!$B$5:$B$301,'Product Cost - Price'!$O$5:$O$301),"")</f>
        <v>0</v>
      </c>
      <c r="O69" s="204">
        <f t="shared" si="13"/>
        <v>0</v>
      </c>
      <c r="P69" s="204">
        <f>IFERROR(_xlfn.XLOOKUP($E69,'Product Cost - Price'!$B$5:$B$301,'Product Cost - Price'!$P$5:$P$301),"")</f>
        <v>0.6925</v>
      </c>
      <c r="Q69" s="204">
        <f t="shared" si="14"/>
        <v>34.625</v>
      </c>
      <c r="R69" s="204">
        <f>IFERROR(_xlfn.XLOOKUP($E69,'Product Cost - Price'!$B$5:$B$301,'Product Cost - Price'!$Q$5:$Q$301),"")</f>
        <v>1.4583333333333333</v>
      </c>
      <c r="S69" s="204">
        <f t="shared" si="15"/>
        <v>72.916666666666657</v>
      </c>
      <c r="U69" s="204">
        <f t="shared" si="16"/>
        <v>174.33833333333345</v>
      </c>
      <c r="V69" s="276">
        <f t="shared" si="17"/>
        <v>0.15108879028437397</v>
      </c>
    </row>
    <row r="70" spans="1:22" x14ac:dyDescent="0.3">
      <c r="A70" s="278" t="s">
        <v>700</v>
      </c>
      <c r="B70" s="280">
        <v>2427</v>
      </c>
      <c r="C70" s="279">
        <v>2427</v>
      </c>
      <c r="E70" s="202">
        <f t="shared" si="9"/>
        <v>540713</v>
      </c>
      <c r="F70" s="203" t="str">
        <f>IFERROR(_xlfn.XLOOKUP($E70,'Product Cost - Price'!$B$5:$B$301,'Product Cost - Price'!$E$5:$E$301),"")</f>
        <v>Bulka</v>
      </c>
      <c r="G70" s="203">
        <f>IFERROR(_xlfn.XLOOKUP($E70,'Product Cost - Price'!$B$5:$B$301,'Product Cost - Price'!$G$5:$G$301),"")</f>
        <v>1000</v>
      </c>
      <c r="H70" s="204">
        <f>IFERROR(_xlfn.XLOOKUP($E70,'Product Cost - Price'!$B$5:$B$301,'Product Cost - Price'!$L$5:$L$301),"")</f>
        <v>0.54442968749999998</v>
      </c>
      <c r="I70" s="204">
        <f t="shared" si="10"/>
        <v>1321.3308515624999</v>
      </c>
      <c r="J70" s="204">
        <f>IFERROR(_xlfn.XLOOKUP($E70,'Product Cost - Price'!$B$5:$B$301,'Product Cost - Price'!$M$5:$M$301),"")</f>
        <v>5.5E-2</v>
      </c>
      <c r="K70" s="204">
        <f t="shared" si="11"/>
        <v>133.48500000000001</v>
      </c>
      <c r="L70" s="204">
        <f>IFERROR(_xlfn.XLOOKUP($E70,'Product Cost - Price'!$B$5:$B$301,'Product Cost - Price'!$N$5:$N$301),"")</f>
        <v>0.04</v>
      </c>
      <c r="M70" s="204">
        <f t="shared" si="12"/>
        <v>97.08</v>
      </c>
      <c r="N70" s="204">
        <f>IFERROR(_xlfn.XLOOKUP($E70,'Product Cost - Price'!$B$5:$B$301,'Product Cost - Price'!$O$5:$O$301),"")</f>
        <v>0</v>
      </c>
      <c r="O70" s="204">
        <f t="shared" si="13"/>
        <v>0</v>
      </c>
      <c r="P70" s="204">
        <f>IFERROR(_xlfn.XLOOKUP($E70,'Product Cost - Price'!$B$5:$B$301,'Product Cost - Price'!$P$5:$P$301),"")</f>
        <v>1.72E-2</v>
      </c>
      <c r="Q70" s="204">
        <f t="shared" si="14"/>
        <v>41.744399999999999</v>
      </c>
      <c r="R70" s="204">
        <f>IFERROR(_xlfn.XLOOKUP($E70,'Product Cost - Price'!$B$5:$B$301,'Product Cost - Price'!$Q$5:$Q$301),"")</f>
        <v>7.0000000000000007E-2</v>
      </c>
      <c r="S70" s="204">
        <f t="shared" si="15"/>
        <v>169.89000000000001</v>
      </c>
      <c r="U70" s="204">
        <f t="shared" si="16"/>
        <v>663.46974843750002</v>
      </c>
      <c r="V70" s="276">
        <f t="shared" si="17"/>
        <v>0.27337031249999999</v>
      </c>
    </row>
    <row r="71" spans="1:22" x14ac:dyDescent="0.3">
      <c r="A71" s="278" t="s">
        <v>701</v>
      </c>
      <c r="B71" s="278">
        <v>86</v>
      </c>
      <c r="C71" s="279">
        <v>1513.6</v>
      </c>
      <c r="E71" s="202">
        <f t="shared" si="9"/>
        <v>540725</v>
      </c>
      <c r="F71" s="203" t="str">
        <f>IFERROR(_xlfn.XLOOKUP($E71,'Product Cost - Price'!$B$5:$B$301,'Product Cost - Price'!$E$5:$E$301),"")</f>
        <v>Standard</v>
      </c>
      <c r="G71" s="203">
        <f>IFERROR(_xlfn.XLOOKUP($E71,'Product Cost - Price'!$B$5:$B$301,'Product Cost - Price'!$G$5:$G$301),"")</f>
        <v>20</v>
      </c>
      <c r="H71" s="204">
        <f>IFERROR(_xlfn.XLOOKUP($E71,'Product Cost - Price'!$B$5:$B$301,'Product Cost - Price'!$L$5:$L$301),"")</f>
        <v>0.4336659722222222</v>
      </c>
      <c r="I71" s="204">
        <f t="shared" si="10"/>
        <v>745.9054722222221</v>
      </c>
      <c r="J71" s="204">
        <f>IFERROR(_xlfn.XLOOKUP($E71,'Product Cost - Price'!$B$5:$B$301,'Product Cost - Price'!$M$5:$M$301),"")</f>
        <v>5.5E-2</v>
      </c>
      <c r="K71" s="204">
        <f t="shared" si="11"/>
        <v>94.600000000000009</v>
      </c>
      <c r="L71" s="204">
        <f>IFERROR(_xlfn.XLOOKUP($E71,'Product Cost - Price'!$B$5:$B$301,'Product Cost - Price'!$N$5:$N$301),"")</f>
        <v>0.08</v>
      </c>
      <c r="M71" s="204">
        <f t="shared" si="12"/>
        <v>137.6</v>
      </c>
      <c r="N71" s="204">
        <f>IFERROR(_xlfn.XLOOKUP($E71,'Product Cost - Price'!$B$5:$B$301,'Product Cost - Price'!$O$5:$O$301),"")</f>
        <v>0</v>
      </c>
      <c r="O71" s="204">
        <f t="shared" si="13"/>
        <v>0</v>
      </c>
      <c r="P71" s="204">
        <f>IFERROR(_xlfn.XLOOKUP($E71,'Product Cost - Price'!$B$5:$B$301,'Product Cost - Price'!$P$5:$P$301),"")</f>
        <v>0.6925</v>
      </c>
      <c r="Q71" s="204">
        <f t="shared" si="14"/>
        <v>59.555</v>
      </c>
      <c r="R71" s="204">
        <f>IFERROR(_xlfn.XLOOKUP($E71,'Product Cost - Price'!$B$5:$B$301,'Product Cost - Price'!$Q$5:$Q$301),"")</f>
        <v>1.4583333333333333</v>
      </c>
      <c r="S71" s="204">
        <f t="shared" si="15"/>
        <v>125.41666666666666</v>
      </c>
      <c r="U71" s="204">
        <f t="shared" si="16"/>
        <v>350.52286111111107</v>
      </c>
      <c r="V71" s="276">
        <f t="shared" si="17"/>
        <v>0.23158222853535351</v>
      </c>
    </row>
    <row r="72" spans="1:22" x14ac:dyDescent="0.3">
      <c r="A72" s="278" t="s">
        <v>702</v>
      </c>
      <c r="B72" s="278">
        <v>1</v>
      </c>
      <c r="C72" s="279">
        <v>31.4</v>
      </c>
      <c r="E72" s="202">
        <f t="shared" ref="E72:E103" si="18">IFERROR(VALUE(LEFT(A72,6)),"")</f>
        <v>540814</v>
      </c>
      <c r="F72" s="203" t="str">
        <f>IFERROR(_xlfn.XLOOKUP($E72,'Product Cost - Price'!$B$5:$B$301,'Product Cost - Price'!$E$5:$E$301),"")</f>
        <v>1.5 kg</v>
      </c>
      <c r="G72" s="203">
        <f>IFERROR(_xlfn.XLOOKUP($E72,'Product Cost - Price'!$B$5:$B$301,'Product Cost - Price'!$G$5:$G$301),"")</f>
        <v>1.5</v>
      </c>
      <c r="H72" s="204">
        <f>IFERROR(_xlfn.XLOOKUP($E72,'Product Cost - Price'!$B$5:$B$301,'Product Cost - Price'!$L$5:$L$301),"")</f>
        <v>1.2410769230769232</v>
      </c>
      <c r="I72" s="204">
        <f t="shared" ref="I72:I103" si="19">IFERROR(IF($F72="Standard",H72*$G72*$B72,IF(OR($F72="Per Unit",$F72="Bulka"),H72*$B72,IF($F72="1.5 kg",H72*1.5*8*$B72,"No Std"))),0)</f>
        <v>14.892923076923079</v>
      </c>
      <c r="J72" s="204">
        <f>IFERROR(_xlfn.XLOOKUP($E72,'Product Cost - Price'!$B$5:$B$301,'Product Cost - Price'!$M$5:$M$301),"")</f>
        <v>5.5E-2</v>
      </c>
      <c r="K72" s="204">
        <f t="shared" ref="K72:K103" si="20">IFERROR(IF($F72="Standard",J72*$G72*$B72,IF(OR($F72="Per Unit",$F72="Bulka"),J72*$B72,IF($F72="1.5 kg",J72*1.5*8*$B72,"No Std"))),0)</f>
        <v>0.66</v>
      </c>
      <c r="L72" s="204">
        <f>IFERROR(_xlfn.XLOOKUP($E72,'Product Cost - Price'!$B$5:$B$301,'Product Cost - Price'!$N$5:$N$301),"")</f>
        <v>0.08</v>
      </c>
      <c r="M72" s="204">
        <f t="shared" ref="M72:M103" si="21">IFERROR(IF($F72="Standard",L72*$G72*$B72,IF(OR($F72="Per Unit",$F72="Bulka"),L72*$B72,IF($F72="1.5 kg",L72*1.5*8*$B72,"No Std"))),0)</f>
        <v>0.96</v>
      </c>
      <c r="N72" s="204">
        <f>IFERROR(_xlfn.XLOOKUP($E72,'Product Cost - Price'!$B$5:$B$301,'Product Cost - Price'!$O$5:$O$301),"")</f>
        <v>0</v>
      </c>
      <c r="O72" s="204">
        <f t="shared" ref="O72:O103" si="22">IFERROR(IF($F72="Standard",N72*$G72*$B72,IF(OR($F72="Per Unit",$F72="Bulka"),N72*$B72,IF($F72="1.5 kg",N72*1.5*8*$B72,"No Std"))),0)</f>
        <v>0</v>
      </c>
      <c r="P72" s="204">
        <f>IFERROR(_xlfn.XLOOKUP($E72,'Product Cost - Price'!$B$5:$B$301,'Product Cost - Price'!$P$5:$P$301),"")</f>
        <v>0.82429999999999992</v>
      </c>
      <c r="Q72" s="204">
        <f t="shared" ref="Q72:Q103" si="23">IF(P72="","",P72*B72)</f>
        <v>0.82429999999999992</v>
      </c>
      <c r="R72" s="204">
        <f>IFERROR(_xlfn.XLOOKUP($E72,'Product Cost - Price'!$B$5:$B$301,'Product Cost - Price'!$Q$5:$Q$301),"")</f>
        <v>0.10500000000000001</v>
      </c>
      <c r="S72" s="204">
        <f t="shared" ref="S72:S103" si="24">IF(R72="","",R72*B72)</f>
        <v>0.10500000000000001</v>
      </c>
      <c r="U72" s="204">
        <f t="shared" ref="U72:U103" si="25">IFERROR(C72-I72-K72-M72-O72-Q72-S72,"")</f>
        <v>13.957776923076919</v>
      </c>
      <c r="V72" s="276">
        <f t="shared" ref="V72:V103" si="26">IFERROR(U72/C72,"")</f>
        <v>0.44451518863302292</v>
      </c>
    </row>
    <row r="73" spans="1:22" x14ac:dyDescent="0.3">
      <c r="A73" s="278" t="s">
        <v>703</v>
      </c>
      <c r="B73" s="278">
        <v>4</v>
      </c>
      <c r="C73" s="279">
        <v>84.8</v>
      </c>
      <c r="E73" s="202">
        <f t="shared" si="18"/>
        <v>540815</v>
      </c>
      <c r="F73" s="203" t="str">
        <f>IFERROR(_xlfn.XLOOKUP($E73,'Product Cost - Price'!$B$5:$B$301,'Product Cost - Price'!$E$5:$E$301),"")</f>
        <v>1.5 kg</v>
      </c>
      <c r="G73" s="203">
        <f>IFERROR(_xlfn.XLOOKUP($E73,'Product Cost - Price'!$B$5:$B$301,'Product Cost - Price'!$G$5:$G$301),"")</f>
        <v>1.5</v>
      </c>
      <c r="H73" s="204">
        <f>IFERROR(_xlfn.XLOOKUP($E73,'Product Cost - Price'!$B$5:$B$301,'Product Cost - Price'!$L$5:$L$301),"")</f>
        <v>0.60057466216216204</v>
      </c>
      <c r="I73" s="204">
        <f t="shared" si="19"/>
        <v>28.82758378378378</v>
      </c>
      <c r="J73" s="204">
        <f>IFERROR(_xlfn.XLOOKUP($E73,'Product Cost - Price'!$B$5:$B$301,'Product Cost - Price'!$M$5:$M$301),"")</f>
        <v>5.5E-2</v>
      </c>
      <c r="K73" s="204">
        <f t="shared" si="20"/>
        <v>2.64</v>
      </c>
      <c r="L73" s="204">
        <f>IFERROR(_xlfn.XLOOKUP($E73,'Product Cost - Price'!$B$5:$B$301,'Product Cost - Price'!$N$5:$N$301),"")</f>
        <v>0.08</v>
      </c>
      <c r="M73" s="204">
        <f t="shared" si="21"/>
        <v>3.84</v>
      </c>
      <c r="N73" s="204">
        <f>IFERROR(_xlfn.XLOOKUP($E73,'Product Cost - Price'!$B$5:$B$301,'Product Cost - Price'!$O$5:$O$301),"")</f>
        <v>0</v>
      </c>
      <c r="O73" s="204">
        <f t="shared" si="22"/>
        <v>0</v>
      </c>
      <c r="P73" s="204">
        <f>IFERROR(_xlfn.XLOOKUP($E73,'Product Cost - Price'!$B$5:$B$301,'Product Cost - Price'!$P$5:$P$301),"")</f>
        <v>0.82429999999999992</v>
      </c>
      <c r="Q73" s="204">
        <f t="shared" si="23"/>
        <v>3.2971999999999997</v>
      </c>
      <c r="R73" s="204">
        <f>IFERROR(_xlfn.XLOOKUP($E73,'Product Cost - Price'!$B$5:$B$301,'Product Cost - Price'!$Q$5:$Q$301),"")</f>
        <v>0.10500000000000001</v>
      </c>
      <c r="S73" s="204">
        <f t="shared" si="24"/>
        <v>0.42000000000000004</v>
      </c>
      <c r="U73" s="204">
        <f t="shared" si="25"/>
        <v>45.775216216216215</v>
      </c>
      <c r="V73" s="276">
        <f t="shared" si="26"/>
        <v>0.53980207802141766</v>
      </c>
    </row>
    <row r="74" spans="1:22" x14ac:dyDescent="0.3">
      <c r="A74" s="278" t="s">
        <v>704</v>
      </c>
      <c r="B74" s="278">
        <v>4</v>
      </c>
      <c r="C74" s="279">
        <v>111.2</v>
      </c>
      <c r="E74" s="202">
        <f t="shared" si="18"/>
        <v>540816</v>
      </c>
      <c r="F74" s="203" t="str">
        <f>IFERROR(_xlfn.XLOOKUP($E74,'Product Cost - Price'!$B$5:$B$301,'Product Cost - Price'!$E$5:$E$301),"")</f>
        <v>1.5 kg</v>
      </c>
      <c r="G74" s="203">
        <f>IFERROR(_xlfn.XLOOKUP($E74,'Product Cost - Price'!$B$5:$B$301,'Product Cost - Price'!$G$5:$G$301),"")</f>
        <v>1.5</v>
      </c>
      <c r="H74" s="204">
        <f>IFERROR(_xlfn.XLOOKUP($E74,'Product Cost - Price'!$B$5:$B$301,'Product Cost - Price'!$L$5:$L$301),"")</f>
        <v>1.014923076923077</v>
      </c>
      <c r="I74" s="204">
        <f t="shared" si="19"/>
        <v>48.716307692307694</v>
      </c>
      <c r="J74" s="204">
        <f>IFERROR(_xlfn.XLOOKUP($E74,'Product Cost - Price'!$B$5:$B$301,'Product Cost - Price'!$M$5:$M$301),"")</f>
        <v>5.5E-2</v>
      </c>
      <c r="K74" s="204">
        <f t="shared" si="20"/>
        <v>2.64</v>
      </c>
      <c r="L74" s="204">
        <f>IFERROR(_xlfn.XLOOKUP($E74,'Product Cost - Price'!$B$5:$B$301,'Product Cost - Price'!$N$5:$N$301),"")</f>
        <v>0.08</v>
      </c>
      <c r="M74" s="204">
        <f t="shared" si="21"/>
        <v>3.84</v>
      </c>
      <c r="N74" s="204">
        <f>IFERROR(_xlfn.XLOOKUP($E74,'Product Cost - Price'!$B$5:$B$301,'Product Cost - Price'!$O$5:$O$301),"")</f>
        <v>0</v>
      </c>
      <c r="O74" s="204">
        <f t="shared" si="22"/>
        <v>0</v>
      </c>
      <c r="P74" s="204">
        <f>IFERROR(_xlfn.XLOOKUP($E74,'Product Cost - Price'!$B$5:$B$301,'Product Cost - Price'!$P$5:$P$301),"")</f>
        <v>0.82429999999999992</v>
      </c>
      <c r="Q74" s="204">
        <f t="shared" si="23"/>
        <v>3.2971999999999997</v>
      </c>
      <c r="R74" s="204">
        <f>IFERROR(_xlfn.XLOOKUP($E74,'Product Cost - Price'!$B$5:$B$301,'Product Cost - Price'!$Q$5:$Q$301),"")</f>
        <v>0.10500000000000001</v>
      </c>
      <c r="S74" s="204">
        <f t="shared" si="24"/>
        <v>0.42000000000000004</v>
      </c>
      <c r="U74" s="204">
        <f t="shared" si="25"/>
        <v>52.286492307692306</v>
      </c>
      <c r="V74" s="276">
        <f t="shared" si="26"/>
        <v>0.47020226895406747</v>
      </c>
    </row>
    <row r="75" spans="1:22" x14ac:dyDescent="0.3">
      <c r="A75" s="278" t="s">
        <v>705</v>
      </c>
      <c r="B75" s="278">
        <v>3</v>
      </c>
      <c r="C75" s="279">
        <v>64.5</v>
      </c>
      <c r="E75" s="202">
        <f t="shared" si="18"/>
        <v>540817</v>
      </c>
      <c r="F75" s="203" t="str">
        <f>IFERROR(_xlfn.XLOOKUP($E75,'Product Cost - Price'!$B$5:$B$301,'Product Cost - Price'!$E$5:$E$301),"")</f>
        <v>1.5 kg</v>
      </c>
      <c r="G75" s="203">
        <f>IFERROR(_xlfn.XLOOKUP($E75,'Product Cost - Price'!$B$5:$B$301,'Product Cost - Price'!$G$5:$G$301),"")</f>
        <v>1.5</v>
      </c>
      <c r="H75" s="204">
        <f>IFERROR(_xlfn.XLOOKUP($E75,'Product Cost - Price'!$B$5:$B$301,'Product Cost - Price'!$L$5:$L$301),"")</f>
        <v>0.6321472868217054</v>
      </c>
      <c r="I75" s="204">
        <f t="shared" si="19"/>
        <v>22.757302325581396</v>
      </c>
      <c r="J75" s="204">
        <f>IFERROR(_xlfn.XLOOKUP($E75,'Product Cost - Price'!$B$5:$B$301,'Product Cost - Price'!$M$5:$M$301),"")</f>
        <v>5.5E-2</v>
      </c>
      <c r="K75" s="204">
        <f t="shared" si="20"/>
        <v>1.98</v>
      </c>
      <c r="L75" s="204">
        <f>IFERROR(_xlfn.XLOOKUP($E75,'Product Cost - Price'!$B$5:$B$301,'Product Cost - Price'!$N$5:$N$301),"")</f>
        <v>0.08</v>
      </c>
      <c r="M75" s="204">
        <f t="shared" si="21"/>
        <v>2.88</v>
      </c>
      <c r="N75" s="204">
        <f>IFERROR(_xlfn.XLOOKUP($E75,'Product Cost - Price'!$B$5:$B$301,'Product Cost - Price'!$O$5:$O$301),"")</f>
        <v>0</v>
      </c>
      <c r="O75" s="204">
        <f t="shared" si="22"/>
        <v>0</v>
      </c>
      <c r="P75" s="204">
        <f>IFERROR(_xlfn.XLOOKUP($E75,'Product Cost - Price'!$B$5:$B$301,'Product Cost - Price'!$P$5:$P$301),"")</f>
        <v>0.82429999999999992</v>
      </c>
      <c r="Q75" s="204">
        <f t="shared" si="23"/>
        <v>2.4728999999999997</v>
      </c>
      <c r="R75" s="204">
        <f>IFERROR(_xlfn.XLOOKUP($E75,'Product Cost - Price'!$B$5:$B$301,'Product Cost - Price'!$Q$5:$Q$301),"")</f>
        <v>0.10500000000000001</v>
      </c>
      <c r="S75" s="204">
        <f t="shared" si="24"/>
        <v>0.31500000000000006</v>
      </c>
      <c r="U75" s="204">
        <f t="shared" si="25"/>
        <v>34.094797674418608</v>
      </c>
      <c r="V75" s="276">
        <f t="shared" si="26"/>
        <v>0.52860151433207148</v>
      </c>
    </row>
    <row r="76" spans="1:22" x14ac:dyDescent="0.3">
      <c r="A76" s="278" t="s">
        <v>706</v>
      </c>
      <c r="B76" s="278">
        <v>24</v>
      </c>
      <c r="C76" s="279">
        <v>475.2</v>
      </c>
      <c r="E76" s="202">
        <f t="shared" si="18"/>
        <v>541157</v>
      </c>
      <c r="F76" s="203" t="str">
        <f>IFERROR(_xlfn.XLOOKUP($E76,'Product Cost - Price'!$B$5:$B$301,'Product Cost - Price'!$E$5:$E$301),"")</f>
        <v>Standard</v>
      </c>
      <c r="G76" s="203">
        <f>IFERROR(_xlfn.XLOOKUP($E76,'Product Cost - Price'!$B$5:$B$301,'Product Cost - Price'!$G$5:$G$301),"")</f>
        <v>20</v>
      </c>
      <c r="H76" s="204">
        <f>IFERROR(_xlfn.XLOOKUP($E76,'Product Cost - Price'!$B$5:$B$301,'Product Cost - Price'!$L$5:$L$301),"")</f>
        <v>0.49981368159203982</v>
      </c>
      <c r="I76" s="204">
        <f t="shared" si="19"/>
        <v>239.91056716417913</v>
      </c>
      <c r="J76" s="204">
        <f>IFERROR(_xlfn.XLOOKUP($E76,'Product Cost - Price'!$B$5:$B$301,'Product Cost - Price'!$M$5:$M$301),"")</f>
        <v>5.5E-2</v>
      </c>
      <c r="K76" s="204">
        <f t="shared" si="20"/>
        <v>26.400000000000002</v>
      </c>
      <c r="L76" s="204">
        <f>IFERROR(_xlfn.XLOOKUP($E76,'Product Cost - Price'!$B$5:$B$301,'Product Cost - Price'!$N$5:$N$301),"")</f>
        <v>0.08</v>
      </c>
      <c r="M76" s="204">
        <f t="shared" si="21"/>
        <v>38.400000000000006</v>
      </c>
      <c r="N76" s="204">
        <f>IFERROR(_xlfn.XLOOKUP($E76,'Product Cost - Price'!$B$5:$B$301,'Product Cost - Price'!$O$5:$O$301),"")</f>
        <v>0</v>
      </c>
      <c r="O76" s="204">
        <f t="shared" si="22"/>
        <v>0</v>
      </c>
      <c r="P76" s="204">
        <f>IFERROR(_xlfn.XLOOKUP($E76,'Product Cost - Price'!$B$5:$B$301,'Product Cost - Price'!$P$5:$P$301),"")</f>
        <v>6.25E-2</v>
      </c>
      <c r="Q76" s="204">
        <f t="shared" si="23"/>
        <v>1.5</v>
      </c>
      <c r="R76" s="204">
        <f>IFERROR(_xlfn.XLOOKUP($E76,'Product Cost - Price'!$B$5:$B$301,'Product Cost - Price'!$Q$5:$Q$301),"")</f>
        <v>1.4583333333333333</v>
      </c>
      <c r="S76" s="204">
        <f t="shared" si="24"/>
        <v>35</v>
      </c>
      <c r="U76" s="204">
        <f t="shared" si="25"/>
        <v>133.98943283582085</v>
      </c>
      <c r="V76" s="276">
        <f t="shared" si="26"/>
        <v>0.28196429468817519</v>
      </c>
    </row>
    <row r="77" spans="1:22" x14ac:dyDescent="0.3">
      <c r="A77" s="278" t="s">
        <v>707</v>
      </c>
      <c r="B77" s="278">
        <v>3</v>
      </c>
      <c r="C77" s="279">
        <v>69</v>
      </c>
      <c r="E77" s="202">
        <f t="shared" si="18"/>
        <v>543451</v>
      </c>
      <c r="F77" s="203" t="str">
        <f>IFERROR(_xlfn.XLOOKUP($E77,'Product Cost - Price'!$B$5:$B$301,'Product Cost - Price'!$E$5:$E$301),"")</f>
        <v>Standard</v>
      </c>
      <c r="G77" s="203">
        <f>IFERROR(_xlfn.XLOOKUP($E77,'Product Cost - Price'!$B$5:$B$301,'Product Cost - Price'!$G$5:$G$301),"")</f>
        <v>20</v>
      </c>
      <c r="H77" s="204">
        <f>IFERROR(_xlfn.XLOOKUP($E77,'Product Cost - Price'!$B$5:$B$301,'Product Cost - Price'!$L$5:$L$301),"")</f>
        <v>0.9</v>
      </c>
      <c r="I77" s="204">
        <f t="shared" si="19"/>
        <v>54</v>
      </c>
      <c r="J77" s="204">
        <f>IFERROR(_xlfn.XLOOKUP($E77,'Product Cost - Price'!$B$5:$B$301,'Product Cost - Price'!$M$5:$M$301),"")</f>
        <v>0</v>
      </c>
      <c r="K77" s="204">
        <f t="shared" si="20"/>
        <v>0</v>
      </c>
      <c r="L77" s="204">
        <f>IFERROR(_xlfn.XLOOKUP($E77,'Product Cost - Price'!$B$5:$B$301,'Product Cost - Price'!$N$5:$N$301),"")</f>
        <v>0</v>
      </c>
      <c r="M77" s="204">
        <f t="shared" si="21"/>
        <v>0</v>
      </c>
      <c r="N77" s="204">
        <f>IFERROR(_xlfn.XLOOKUP($E77,'Product Cost - Price'!$B$5:$B$301,'Product Cost - Price'!$O$5:$O$301),"")</f>
        <v>0</v>
      </c>
      <c r="O77" s="204">
        <f t="shared" si="22"/>
        <v>0</v>
      </c>
      <c r="P77" s="204">
        <f>IFERROR(_xlfn.XLOOKUP($E77,'Product Cost - Price'!$B$5:$B$301,'Product Cost - Price'!$P$5:$P$301),"")</f>
        <v>0</v>
      </c>
      <c r="Q77" s="204">
        <f t="shared" si="23"/>
        <v>0</v>
      </c>
      <c r="R77" s="204">
        <f>IFERROR(_xlfn.XLOOKUP($E77,'Product Cost - Price'!$B$5:$B$301,'Product Cost - Price'!$Q$5:$Q$301),"")</f>
        <v>1.4</v>
      </c>
      <c r="S77" s="204">
        <f t="shared" si="24"/>
        <v>4.1999999999999993</v>
      </c>
      <c r="U77" s="204">
        <f t="shared" si="25"/>
        <v>10.8</v>
      </c>
      <c r="V77" s="276">
        <f t="shared" si="26"/>
        <v>0.15652173913043479</v>
      </c>
    </row>
    <row r="78" spans="1:22" x14ac:dyDescent="0.3">
      <c r="A78" s="278" t="s">
        <v>708</v>
      </c>
      <c r="B78" s="278">
        <v>26</v>
      </c>
      <c r="C78" s="279">
        <v>561.6</v>
      </c>
      <c r="E78" s="202">
        <f t="shared" si="18"/>
        <v>546517</v>
      </c>
      <c r="F78" s="203" t="str">
        <f>IFERROR(_xlfn.XLOOKUP($E78,'Product Cost - Price'!$B$5:$B$301,'Product Cost - Price'!$E$5:$E$301),"")</f>
        <v>Standard</v>
      </c>
      <c r="G78" s="203">
        <f>IFERROR(_xlfn.XLOOKUP($E78,'Product Cost - Price'!$B$5:$B$301,'Product Cost - Price'!$G$5:$G$301),"")</f>
        <v>20</v>
      </c>
      <c r="H78" s="204">
        <f>IFERROR(_xlfn.XLOOKUP($E78,'Product Cost - Price'!$B$5:$B$301,'Product Cost - Price'!$L$5:$L$301),"")</f>
        <v>0.60057466216216204</v>
      </c>
      <c r="I78" s="204">
        <f t="shared" si="19"/>
        <v>312.29882432432424</v>
      </c>
      <c r="J78" s="204">
        <f>IFERROR(_xlfn.XLOOKUP($E78,'Product Cost - Price'!$B$5:$B$301,'Product Cost - Price'!$M$5:$M$301),"")</f>
        <v>5.5E-2</v>
      </c>
      <c r="K78" s="204">
        <f t="shared" si="20"/>
        <v>28.6</v>
      </c>
      <c r="L78" s="204">
        <f>IFERROR(_xlfn.XLOOKUP($E78,'Product Cost - Price'!$B$5:$B$301,'Product Cost - Price'!$N$5:$N$301),"")</f>
        <v>0.08</v>
      </c>
      <c r="M78" s="204">
        <f t="shared" si="21"/>
        <v>41.6</v>
      </c>
      <c r="N78" s="204">
        <f>IFERROR(_xlfn.XLOOKUP($E78,'Product Cost - Price'!$B$5:$B$301,'Product Cost - Price'!$O$5:$O$301),"")</f>
        <v>0</v>
      </c>
      <c r="O78" s="204">
        <f t="shared" si="22"/>
        <v>0</v>
      </c>
      <c r="P78" s="204">
        <f>IFERROR(_xlfn.XLOOKUP($E78,'Product Cost - Price'!$B$5:$B$301,'Product Cost - Price'!$P$5:$P$301),"")</f>
        <v>0.6925</v>
      </c>
      <c r="Q78" s="204">
        <f t="shared" si="23"/>
        <v>18.004999999999999</v>
      </c>
      <c r="R78" s="204">
        <f>IFERROR(_xlfn.XLOOKUP($E78,'Product Cost - Price'!$B$5:$B$301,'Product Cost - Price'!$Q$5:$Q$301),"")</f>
        <v>1.4583333333333333</v>
      </c>
      <c r="S78" s="204">
        <f t="shared" si="24"/>
        <v>37.916666666666664</v>
      </c>
      <c r="U78" s="204">
        <f t="shared" si="25"/>
        <v>123.17950900900914</v>
      </c>
      <c r="V78" s="276">
        <f t="shared" si="26"/>
        <v>0.21933673256589944</v>
      </c>
    </row>
    <row r="79" spans="1:22" x14ac:dyDescent="0.3">
      <c r="A79" s="278" t="s">
        <v>709</v>
      </c>
      <c r="B79" s="278">
        <v>29</v>
      </c>
      <c r="C79" s="279">
        <v>945.4</v>
      </c>
      <c r="E79" s="202">
        <f t="shared" si="18"/>
        <v>546518</v>
      </c>
      <c r="F79" s="203" t="str">
        <f>IFERROR(_xlfn.XLOOKUP($E79,'Product Cost - Price'!$B$5:$B$301,'Product Cost - Price'!$E$5:$E$301),"")</f>
        <v>Standard</v>
      </c>
      <c r="G79" s="203">
        <f>IFERROR(_xlfn.XLOOKUP($E79,'Product Cost - Price'!$B$5:$B$301,'Product Cost - Price'!$G$5:$G$301),"")</f>
        <v>20</v>
      </c>
      <c r="H79" s="204">
        <f>IFERROR(_xlfn.XLOOKUP($E79,'Product Cost - Price'!$B$5:$B$301,'Product Cost - Price'!$L$5:$L$301),"")</f>
        <v>1.014923076923077</v>
      </c>
      <c r="I79" s="204">
        <f t="shared" si="19"/>
        <v>588.65538461538472</v>
      </c>
      <c r="J79" s="204">
        <f>IFERROR(_xlfn.XLOOKUP($E79,'Product Cost - Price'!$B$5:$B$301,'Product Cost - Price'!$M$5:$M$301),"")</f>
        <v>5.5E-2</v>
      </c>
      <c r="K79" s="204">
        <f t="shared" si="20"/>
        <v>31.900000000000002</v>
      </c>
      <c r="L79" s="204">
        <f>IFERROR(_xlfn.XLOOKUP($E79,'Product Cost - Price'!$B$5:$B$301,'Product Cost - Price'!$N$5:$N$301),"")</f>
        <v>0.08</v>
      </c>
      <c r="M79" s="204">
        <f t="shared" si="21"/>
        <v>46.400000000000006</v>
      </c>
      <c r="N79" s="204">
        <f>IFERROR(_xlfn.XLOOKUP($E79,'Product Cost - Price'!$B$5:$B$301,'Product Cost - Price'!$O$5:$O$301),"")</f>
        <v>0</v>
      </c>
      <c r="O79" s="204">
        <f t="shared" si="22"/>
        <v>0</v>
      </c>
      <c r="P79" s="204">
        <f>IFERROR(_xlfn.XLOOKUP($E79,'Product Cost - Price'!$B$5:$B$301,'Product Cost - Price'!$P$5:$P$301),"")</f>
        <v>0.6925</v>
      </c>
      <c r="Q79" s="204">
        <f t="shared" si="23"/>
        <v>20.0825</v>
      </c>
      <c r="R79" s="204">
        <f>IFERROR(_xlfn.XLOOKUP($E79,'Product Cost - Price'!$B$5:$B$301,'Product Cost - Price'!$Q$5:$Q$301),"")</f>
        <v>1.4583333333333333</v>
      </c>
      <c r="S79" s="204">
        <f t="shared" si="24"/>
        <v>42.291666666666664</v>
      </c>
      <c r="U79" s="204">
        <f t="shared" si="25"/>
        <v>216.07044871794866</v>
      </c>
      <c r="V79" s="276">
        <f t="shared" si="26"/>
        <v>0.22854923706150695</v>
      </c>
    </row>
    <row r="80" spans="1:22" x14ac:dyDescent="0.3">
      <c r="A80" s="278" t="s">
        <v>710</v>
      </c>
      <c r="B80" s="278">
        <v>62</v>
      </c>
      <c r="C80" s="279">
        <v>1370.2</v>
      </c>
      <c r="E80" s="202">
        <f t="shared" si="18"/>
        <v>546522</v>
      </c>
      <c r="F80" s="203" t="str">
        <f>IFERROR(_xlfn.XLOOKUP($E80,'Product Cost - Price'!$B$5:$B$301,'Product Cost - Price'!$E$5:$E$301),"")</f>
        <v>Standard</v>
      </c>
      <c r="G80" s="203">
        <f>IFERROR(_xlfn.XLOOKUP($E80,'Product Cost - Price'!$B$5:$B$301,'Product Cost - Price'!$G$5:$G$301),"")</f>
        <v>20</v>
      </c>
      <c r="H80" s="204">
        <f>IFERROR(_xlfn.XLOOKUP($E80,'Product Cost - Price'!$B$5:$B$301,'Product Cost - Price'!$L$5:$L$301),"")</f>
        <v>0.6321472868217054</v>
      </c>
      <c r="I80" s="204">
        <f t="shared" si="19"/>
        <v>783.86263565891466</v>
      </c>
      <c r="J80" s="204">
        <f>IFERROR(_xlfn.XLOOKUP($E80,'Product Cost - Price'!$B$5:$B$301,'Product Cost - Price'!$M$5:$M$301),"")</f>
        <v>5.5E-2</v>
      </c>
      <c r="K80" s="204">
        <f t="shared" si="20"/>
        <v>68.2</v>
      </c>
      <c r="L80" s="204">
        <f>IFERROR(_xlfn.XLOOKUP($E80,'Product Cost - Price'!$B$5:$B$301,'Product Cost - Price'!$N$5:$N$301),"")</f>
        <v>0.08</v>
      </c>
      <c r="M80" s="204">
        <f t="shared" si="21"/>
        <v>99.2</v>
      </c>
      <c r="N80" s="204">
        <f>IFERROR(_xlfn.XLOOKUP($E80,'Product Cost - Price'!$B$5:$B$301,'Product Cost - Price'!$O$5:$O$301),"")</f>
        <v>0</v>
      </c>
      <c r="O80" s="204">
        <f t="shared" si="22"/>
        <v>0</v>
      </c>
      <c r="P80" s="204">
        <f>IFERROR(_xlfn.XLOOKUP($E80,'Product Cost - Price'!$B$5:$B$301,'Product Cost - Price'!$P$5:$P$301),"")</f>
        <v>0.6925</v>
      </c>
      <c r="Q80" s="204">
        <f t="shared" si="23"/>
        <v>42.935000000000002</v>
      </c>
      <c r="R80" s="204">
        <f>IFERROR(_xlfn.XLOOKUP($E80,'Product Cost - Price'!$B$5:$B$301,'Product Cost - Price'!$Q$5:$Q$301),"")</f>
        <v>1.4583333333333333</v>
      </c>
      <c r="S80" s="204">
        <f t="shared" si="24"/>
        <v>90.416666666666657</v>
      </c>
      <c r="U80" s="204">
        <f t="shared" si="25"/>
        <v>285.58569767441873</v>
      </c>
      <c r="V80" s="276">
        <f t="shared" si="26"/>
        <v>0.20842628643586245</v>
      </c>
    </row>
    <row r="81" spans="1:22" x14ac:dyDescent="0.3">
      <c r="A81" s="278" t="s">
        <v>711</v>
      </c>
      <c r="B81" s="278">
        <v>46</v>
      </c>
      <c r="C81" s="279">
        <v>1775.6</v>
      </c>
      <c r="E81" s="202">
        <f t="shared" si="18"/>
        <v>546523</v>
      </c>
      <c r="F81" s="203" t="str">
        <f>IFERROR(_xlfn.XLOOKUP($E81,'Product Cost - Price'!$B$5:$B$301,'Product Cost - Price'!$E$5:$E$301),"")</f>
        <v>Standard</v>
      </c>
      <c r="G81" s="203">
        <f>IFERROR(_xlfn.XLOOKUP($E81,'Product Cost - Price'!$B$5:$B$301,'Product Cost - Price'!$G$5:$G$301),"")</f>
        <v>20</v>
      </c>
      <c r="H81" s="204">
        <f>IFERROR(_xlfn.XLOOKUP($E81,'Product Cost - Price'!$B$5:$B$301,'Product Cost - Price'!$L$5:$L$301),"")</f>
        <v>1.2410769230769232</v>
      </c>
      <c r="I81" s="204">
        <f t="shared" si="19"/>
        <v>1141.7907692307692</v>
      </c>
      <c r="J81" s="204">
        <f>IFERROR(_xlfn.XLOOKUP($E81,'Product Cost - Price'!$B$5:$B$301,'Product Cost - Price'!$M$5:$M$301),"")</f>
        <v>5.5E-2</v>
      </c>
      <c r="K81" s="204">
        <f t="shared" si="20"/>
        <v>50.6</v>
      </c>
      <c r="L81" s="204">
        <f>IFERROR(_xlfn.XLOOKUP($E81,'Product Cost - Price'!$B$5:$B$301,'Product Cost - Price'!$N$5:$N$301),"")</f>
        <v>0.08</v>
      </c>
      <c r="M81" s="204">
        <f t="shared" si="21"/>
        <v>73.600000000000009</v>
      </c>
      <c r="N81" s="204">
        <f>IFERROR(_xlfn.XLOOKUP($E81,'Product Cost - Price'!$B$5:$B$301,'Product Cost - Price'!$O$5:$O$301),"")</f>
        <v>0</v>
      </c>
      <c r="O81" s="204">
        <f t="shared" si="22"/>
        <v>0</v>
      </c>
      <c r="P81" s="204">
        <f>IFERROR(_xlfn.XLOOKUP($E81,'Product Cost - Price'!$B$5:$B$301,'Product Cost - Price'!$P$5:$P$301),"")</f>
        <v>0.6925</v>
      </c>
      <c r="Q81" s="204">
        <f t="shared" si="23"/>
        <v>31.855</v>
      </c>
      <c r="R81" s="204">
        <f>IFERROR(_xlfn.XLOOKUP($E81,'Product Cost - Price'!$B$5:$B$301,'Product Cost - Price'!$Q$5:$Q$301),"")</f>
        <v>1.4583333333333333</v>
      </c>
      <c r="S81" s="204">
        <f t="shared" si="24"/>
        <v>67.083333333333329</v>
      </c>
      <c r="U81" s="204">
        <f t="shared" si="25"/>
        <v>410.6708974358973</v>
      </c>
      <c r="V81" s="276">
        <f t="shared" si="26"/>
        <v>0.23128570479606742</v>
      </c>
    </row>
    <row r="82" spans="1:22" x14ac:dyDescent="0.3">
      <c r="A82" s="278" t="s">
        <v>712</v>
      </c>
      <c r="B82" s="278">
        <v>44</v>
      </c>
      <c r="C82" s="279">
        <v>1872</v>
      </c>
      <c r="E82" s="202">
        <f t="shared" si="18"/>
        <v>546686</v>
      </c>
      <c r="F82" s="203" t="str">
        <f>IFERROR(_xlfn.XLOOKUP($E82,'Product Cost - Price'!$B$5:$B$301,'Product Cost - Price'!$E$5:$E$301),"")</f>
        <v>Standard</v>
      </c>
      <c r="G82" s="203">
        <f>IFERROR(_xlfn.XLOOKUP($E82,'Product Cost - Price'!$B$5:$B$301,'Product Cost - Price'!$G$5:$G$301),"")</f>
        <v>20</v>
      </c>
      <c r="H82" s="204">
        <f>IFERROR(_xlfn.XLOOKUP($E82,'Product Cost - Price'!$B$5:$B$301,'Product Cost - Price'!$L$5:$L$301),"")</f>
        <v>1.5435000000000001</v>
      </c>
      <c r="I82" s="204">
        <f t="shared" si="19"/>
        <v>1358.28</v>
      </c>
      <c r="J82" s="204">
        <f>IFERROR(_xlfn.XLOOKUP($E82,'Product Cost - Price'!$B$5:$B$301,'Product Cost - Price'!$M$5:$M$301),"")</f>
        <v>5.5E-2</v>
      </c>
      <c r="K82" s="204">
        <f t="shared" si="20"/>
        <v>48.400000000000006</v>
      </c>
      <c r="L82" s="204">
        <f>IFERROR(_xlfn.XLOOKUP($E82,'Product Cost - Price'!$B$5:$B$301,'Product Cost - Price'!$N$5:$N$301),"")</f>
        <v>0.04</v>
      </c>
      <c r="M82" s="204">
        <f t="shared" si="21"/>
        <v>35.200000000000003</v>
      </c>
      <c r="N82" s="204">
        <f>IFERROR(_xlfn.XLOOKUP($E82,'Product Cost - Price'!$B$5:$B$301,'Product Cost - Price'!$O$5:$O$301),"")</f>
        <v>0</v>
      </c>
      <c r="O82" s="204">
        <f t="shared" si="22"/>
        <v>0</v>
      </c>
      <c r="P82" s="204">
        <f>IFERROR(_xlfn.XLOOKUP($E82,'Product Cost - Price'!$B$5:$B$301,'Product Cost - Price'!$P$5:$P$301),"")</f>
        <v>0.6925</v>
      </c>
      <c r="Q82" s="204">
        <f t="shared" si="23"/>
        <v>30.47</v>
      </c>
      <c r="R82" s="204">
        <f>IFERROR(_xlfn.XLOOKUP($E82,'Product Cost - Price'!$B$5:$B$301,'Product Cost - Price'!$Q$5:$Q$301),"")</f>
        <v>1.4583333333333333</v>
      </c>
      <c r="S82" s="204">
        <f t="shared" si="24"/>
        <v>64.166666666666657</v>
      </c>
      <c r="U82" s="204">
        <f t="shared" si="25"/>
        <v>335.48333333333346</v>
      </c>
      <c r="V82" s="276">
        <f t="shared" si="26"/>
        <v>0.17921118233618241</v>
      </c>
    </row>
    <row r="83" spans="1:22" x14ac:dyDescent="0.3">
      <c r="A83" s="278" t="s">
        <v>713</v>
      </c>
      <c r="B83" s="278">
        <v>600</v>
      </c>
      <c r="C83" s="279">
        <v>1380</v>
      </c>
      <c r="E83" s="202">
        <f t="shared" si="18"/>
        <v>546687</v>
      </c>
      <c r="F83" s="203" t="str">
        <f>IFERROR(_xlfn.XLOOKUP($E83,'Product Cost - Price'!$B$5:$B$301,'Product Cost - Price'!$E$5:$E$301),"")</f>
        <v>Bulka</v>
      </c>
      <c r="G83" s="203">
        <f>IFERROR(_xlfn.XLOOKUP($E83,'Product Cost - Price'!$B$5:$B$301,'Product Cost - Price'!$G$5:$G$301),"")</f>
        <v>550</v>
      </c>
      <c r="H83" s="204">
        <f>IFERROR(_xlfn.XLOOKUP($E83,'Product Cost - Price'!$B$5:$B$301,'Product Cost - Price'!$L$5:$L$301),"")</f>
        <v>1.5435000000000001</v>
      </c>
      <c r="I83" s="204">
        <f t="shared" si="19"/>
        <v>926.1</v>
      </c>
      <c r="J83" s="204">
        <f>IFERROR(_xlfn.XLOOKUP($E83,'Product Cost - Price'!$B$5:$B$301,'Product Cost - Price'!$M$5:$M$301),"")</f>
        <v>5.5E-2</v>
      </c>
      <c r="K83" s="204">
        <f t="shared" si="20"/>
        <v>33</v>
      </c>
      <c r="L83" s="204">
        <f>IFERROR(_xlfn.XLOOKUP($E83,'Product Cost - Price'!$B$5:$B$301,'Product Cost - Price'!$N$5:$N$301),"")</f>
        <v>0.04</v>
      </c>
      <c r="M83" s="204">
        <f t="shared" si="21"/>
        <v>24</v>
      </c>
      <c r="N83" s="204">
        <f>IFERROR(_xlfn.XLOOKUP($E83,'Product Cost - Price'!$B$5:$B$301,'Product Cost - Price'!$O$5:$O$301),"")</f>
        <v>0</v>
      </c>
      <c r="O83" s="204">
        <f t="shared" si="22"/>
        <v>0</v>
      </c>
      <c r="P83" s="204">
        <f>IFERROR(_xlfn.XLOOKUP($E83,'Product Cost - Price'!$B$5:$B$301,'Product Cost - Price'!$P$5:$P$301),"")</f>
        <v>3.1272727272727271E-2</v>
      </c>
      <c r="Q83" s="204">
        <f t="shared" si="23"/>
        <v>18.763636363636362</v>
      </c>
      <c r="R83" s="204">
        <f>IFERROR(_xlfn.XLOOKUP($E83,'Product Cost - Price'!$B$5:$B$301,'Product Cost - Price'!$Q$5:$Q$301),"")</f>
        <v>0.12727272727272726</v>
      </c>
      <c r="S83" s="204">
        <f t="shared" si="24"/>
        <v>76.36363636363636</v>
      </c>
      <c r="U83" s="204">
        <f t="shared" si="25"/>
        <v>301.77272727272725</v>
      </c>
      <c r="V83" s="276">
        <f t="shared" si="26"/>
        <v>0.21867588932806323</v>
      </c>
    </row>
    <row r="84" spans="1:22" x14ac:dyDescent="0.3">
      <c r="A84" s="278" t="s">
        <v>714</v>
      </c>
      <c r="B84" s="278">
        <v>35</v>
      </c>
      <c r="C84" s="279">
        <v>657.3</v>
      </c>
      <c r="E84" s="202">
        <f t="shared" si="18"/>
        <v>547340</v>
      </c>
      <c r="F84" s="203" t="str">
        <f>IFERROR(_xlfn.XLOOKUP($E84,'Product Cost - Price'!$B$5:$B$301,'Product Cost - Price'!$E$5:$E$301),"")</f>
        <v>Standard</v>
      </c>
      <c r="G84" s="203">
        <f>IFERROR(_xlfn.XLOOKUP($E84,'Product Cost - Price'!$B$5:$B$301,'Product Cost - Price'!$G$5:$G$301),"")</f>
        <v>20</v>
      </c>
      <c r="H84" s="204">
        <f>IFERROR(_xlfn.XLOOKUP($E84,'Product Cost - Price'!$B$5:$B$301,'Product Cost - Price'!$L$5:$L$301),"")</f>
        <v>0.504</v>
      </c>
      <c r="I84" s="204">
        <f t="shared" si="19"/>
        <v>352.8</v>
      </c>
      <c r="J84" s="204">
        <f>IFERROR(_xlfn.XLOOKUP($E84,'Product Cost - Price'!$B$5:$B$301,'Product Cost - Price'!$M$5:$M$301),"")</f>
        <v>5.5E-2</v>
      </c>
      <c r="K84" s="204">
        <f t="shared" si="20"/>
        <v>38.5</v>
      </c>
      <c r="L84" s="204">
        <f>IFERROR(_xlfn.XLOOKUP($E84,'Product Cost - Price'!$B$5:$B$301,'Product Cost - Price'!$N$5:$N$301),"")</f>
        <v>0.04</v>
      </c>
      <c r="M84" s="204">
        <f t="shared" si="21"/>
        <v>28</v>
      </c>
      <c r="N84" s="204">
        <f>IFERROR(_xlfn.XLOOKUP($E84,'Product Cost - Price'!$B$5:$B$301,'Product Cost - Price'!$O$5:$O$301),"")</f>
        <v>2.5000000000000001E-2</v>
      </c>
      <c r="O84" s="204">
        <f t="shared" si="22"/>
        <v>17.5</v>
      </c>
      <c r="P84" s="204">
        <f>IFERROR(_xlfn.XLOOKUP($E84,'Product Cost - Price'!$B$5:$B$301,'Product Cost - Price'!$P$5:$P$301),"")</f>
        <v>0.6925</v>
      </c>
      <c r="Q84" s="204">
        <f t="shared" si="23"/>
        <v>24.237500000000001</v>
      </c>
      <c r="R84" s="204">
        <f>IFERROR(_xlfn.XLOOKUP($E84,'Product Cost - Price'!$B$5:$B$301,'Product Cost - Price'!$Q$5:$Q$301),"")</f>
        <v>1.4583333333333333</v>
      </c>
      <c r="S84" s="204">
        <f t="shared" si="24"/>
        <v>51.041666666666664</v>
      </c>
      <c r="U84" s="204">
        <f t="shared" si="25"/>
        <v>145.22083333333327</v>
      </c>
      <c r="V84" s="276">
        <f t="shared" si="26"/>
        <v>0.22093539226127079</v>
      </c>
    </row>
    <row r="85" spans="1:22" x14ac:dyDescent="0.3">
      <c r="A85" s="278" t="s">
        <v>715</v>
      </c>
      <c r="B85" s="278">
        <v>76</v>
      </c>
      <c r="C85" s="279">
        <v>1089.44</v>
      </c>
      <c r="E85" s="202">
        <f t="shared" si="18"/>
        <v>547537</v>
      </c>
      <c r="F85" s="203" t="str">
        <f>IFERROR(_xlfn.XLOOKUP($E85,'Product Cost - Price'!$B$5:$B$301,'Product Cost - Price'!$E$5:$E$301),"")</f>
        <v>Standard</v>
      </c>
      <c r="G85" s="203">
        <f>IFERROR(_xlfn.XLOOKUP($E85,'Product Cost - Price'!$B$5:$B$301,'Product Cost - Price'!$G$5:$G$301),"")</f>
        <v>20</v>
      </c>
      <c r="H85" s="204">
        <f>IFERROR(_xlfn.XLOOKUP($E85,'Product Cost - Price'!$B$5:$B$301,'Product Cost - Price'!$L$5:$L$301),"")</f>
        <v>0.35385</v>
      </c>
      <c r="I85" s="204">
        <f t="shared" si="19"/>
        <v>537.85199999999998</v>
      </c>
      <c r="J85" s="204">
        <f>IFERROR(_xlfn.XLOOKUP($E85,'Product Cost - Price'!$B$5:$B$301,'Product Cost - Price'!$M$5:$M$301),"")</f>
        <v>5.5E-2</v>
      </c>
      <c r="K85" s="204">
        <f t="shared" si="20"/>
        <v>83.600000000000009</v>
      </c>
      <c r="L85" s="204">
        <f>IFERROR(_xlfn.XLOOKUP($E85,'Product Cost - Price'!$B$5:$B$301,'Product Cost - Price'!$N$5:$N$301),"")</f>
        <v>0.04</v>
      </c>
      <c r="M85" s="204">
        <f t="shared" si="21"/>
        <v>60.800000000000004</v>
      </c>
      <c r="N85" s="204">
        <f>IFERROR(_xlfn.XLOOKUP($E85,'Product Cost - Price'!$B$5:$B$301,'Product Cost - Price'!$O$5:$O$301),"")</f>
        <v>2.5000000000000001E-2</v>
      </c>
      <c r="O85" s="204">
        <f t="shared" si="22"/>
        <v>38</v>
      </c>
      <c r="P85" s="204">
        <f>IFERROR(_xlfn.XLOOKUP($E85,'Product Cost - Price'!$B$5:$B$301,'Product Cost - Price'!$P$5:$P$301),"")</f>
        <v>0.6925</v>
      </c>
      <c r="Q85" s="204">
        <f t="shared" si="23"/>
        <v>52.63</v>
      </c>
      <c r="R85" s="204">
        <f>IFERROR(_xlfn.XLOOKUP($E85,'Product Cost - Price'!$B$5:$B$301,'Product Cost - Price'!$Q$5:$Q$301),"")</f>
        <v>1.4583333333333333</v>
      </c>
      <c r="S85" s="204">
        <f t="shared" si="24"/>
        <v>110.83333333333333</v>
      </c>
      <c r="U85" s="204">
        <f t="shared" si="25"/>
        <v>205.72466666666674</v>
      </c>
      <c r="V85" s="276">
        <f t="shared" si="26"/>
        <v>0.18883524257110693</v>
      </c>
    </row>
    <row r="86" spans="1:22" x14ac:dyDescent="0.3">
      <c r="A86" s="278" t="s">
        <v>716</v>
      </c>
      <c r="B86" s="278">
        <v>800</v>
      </c>
      <c r="C86" s="279">
        <v>1040</v>
      </c>
      <c r="E86" s="202">
        <f t="shared" si="18"/>
        <v>559574</v>
      </c>
      <c r="F86" s="203" t="str">
        <f>IFERROR(_xlfn.XLOOKUP($E86,'Product Cost - Price'!$B$5:$B$301,'Product Cost - Price'!$E$5:$E$301),"")</f>
        <v>Bulka</v>
      </c>
      <c r="G86" s="203">
        <f>IFERROR(_xlfn.XLOOKUP($E86,'Product Cost - Price'!$B$5:$B$301,'Product Cost - Price'!$G$5:$G$301),"")</f>
        <v>800</v>
      </c>
      <c r="H86" s="204">
        <f>IFERROR(_xlfn.XLOOKUP($E86,'Product Cost - Price'!$B$5:$B$301,'Product Cost - Price'!$L$5:$L$301),"")</f>
        <v>0.77700000000000002</v>
      </c>
      <c r="I86" s="204">
        <f t="shared" si="19"/>
        <v>621.6</v>
      </c>
      <c r="J86" s="204">
        <f>IFERROR(_xlfn.XLOOKUP($E86,'Product Cost - Price'!$B$5:$B$301,'Product Cost - Price'!$M$5:$M$301),"")</f>
        <v>5.5E-2</v>
      </c>
      <c r="K86" s="204">
        <f t="shared" si="20"/>
        <v>44</v>
      </c>
      <c r="L86" s="204">
        <f>IFERROR(_xlfn.XLOOKUP($E86,'Product Cost - Price'!$B$5:$B$301,'Product Cost - Price'!$N$5:$N$301),"")</f>
        <v>0.04</v>
      </c>
      <c r="M86" s="204">
        <f t="shared" si="21"/>
        <v>32</v>
      </c>
      <c r="N86" s="204">
        <f>IFERROR(_xlfn.XLOOKUP($E86,'Product Cost - Price'!$B$5:$B$301,'Product Cost - Price'!$O$5:$O$301),"")</f>
        <v>2.5000000000000001E-2</v>
      </c>
      <c r="O86" s="204">
        <f t="shared" si="22"/>
        <v>20</v>
      </c>
      <c r="P86" s="204">
        <f>IFERROR(_xlfn.XLOOKUP($E86,'Product Cost - Price'!$B$5:$B$301,'Product Cost - Price'!$P$5:$P$301),"")</f>
        <v>2.1499999999999998E-2</v>
      </c>
      <c r="Q86" s="204">
        <f t="shared" si="23"/>
        <v>17.2</v>
      </c>
      <c r="R86" s="204">
        <f>IFERROR(_xlfn.XLOOKUP($E86,'Product Cost - Price'!$B$5:$B$301,'Product Cost - Price'!$Q$5:$Q$301),"")</f>
        <v>8.7499999999999994E-2</v>
      </c>
      <c r="S86" s="204">
        <f t="shared" si="24"/>
        <v>70</v>
      </c>
      <c r="U86" s="204">
        <f t="shared" si="25"/>
        <v>235.2</v>
      </c>
      <c r="V86" s="276">
        <f t="shared" si="26"/>
        <v>0.22615384615384615</v>
      </c>
    </row>
    <row r="87" spans="1:22" x14ac:dyDescent="0.3">
      <c r="A87" s="278" t="s">
        <v>717</v>
      </c>
      <c r="B87" s="278">
        <v>50</v>
      </c>
      <c r="C87" s="279">
        <v>1234.5</v>
      </c>
      <c r="E87" s="202">
        <f t="shared" si="18"/>
        <v>563503</v>
      </c>
      <c r="F87" s="203" t="str">
        <f>IFERROR(_xlfn.XLOOKUP($E87,'Product Cost - Price'!$B$5:$B$301,'Product Cost - Price'!$E$5:$E$301),"")</f>
        <v>Standard</v>
      </c>
      <c r="G87" s="203">
        <f>IFERROR(_xlfn.XLOOKUP($E87,'Product Cost - Price'!$B$5:$B$301,'Product Cost - Price'!$G$5:$G$301),"")</f>
        <v>20</v>
      </c>
      <c r="H87" s="204">
        <f>IFERROR(_xlfn.XLOOKUP($E87,'Product Cost - Price'!$B$5:$B$301,'Product Cost - Price'!$L$5:$L$301),"")</f>
        <v>0.85643935606439359</v>
      </c>
      <c r="I87" s="204">
        <f t="shared" si="19"/>
        <v>856.43935606439356</v>
      </c>
      <c r="J87" s="204">
        <f>IFERROR(_xlfn.XLOOKUP($E87,'Product Cost - Price'!$B$5:$B$301,'Product Cost - Price'!$M$5:$M$301),"")</f>
        <v>0</v>
      </c>
      <c r="K87" s="204">
        <f t="shared" si="20"/>
        <v>0</v>
      </c>
      <c r="L87" s="204">
        <f>IFERROR(_xlfn.XLOOKUP($E87,'Product Cost - Price'!$B$5:$B$301,'Product Cost - Price'!$N$5:$N$301),"")</f>
        <v>8.5000000000000006E-2</v>
      </c>
      <c r="M87" s="204">
        <f t="shared" si="21"/>
        <v>85.000000000000014</v>
      </c>
      <c r="N87" s="204">
        <f>IFERROR(_xlfn.XLOOKUP($E87,'Product Cost - Price'!$B$5:$B$301,'Product Cost - Price'!$O$5:$O$301),"")</f>
        <v>0</v>
      </c>
      <c r="O87" s="204">
        <f t="shared" si="22"/>
        <v>0</v>
      </c>
      <c r="P87" s="204">
        <f>IFERROR(_xlfn.XLOOKUP($E87,'Product Cost - Price'!$B$5:$B$301,'Product Cost - Price'!$P$5:$P$301),"")</f>
        <v>6.25E-2</v>
      </c>
      <c r="Q87" s="204">
        <f t="shared" si="23"/>
        <v>3.125</v>
      </c>
      <c r="R87" s="204">
        <f>IFERROR(_xlfn.XLOOKUP($E87,'Product Cost - Price'!$B$5:$B$301,'Product Cost - Price'!$Q$5:$Q$301),"")</f>
        <v>1.4583333333333333</v>
      </c>
      <c r="S87" s="204">
        <f t="shared" si="24"/>
        <v>72.916666666666657</v>
      </c>
      <c r="U87" s="204">
        <f t="shared" si="25"/>
        <v>217.01897726893978</v>
      </c>
      <c r="V87" s="276">
        <f t="shared" si="26"/>
        <v>0.17579504031505855</v>
      </c>
    </row>
    <row r="88" spans="1:22" x14ac:dyDescent="0.3">
      <c r="A88" s="278" t="s">
        <v>718</v>
      </c>
      <c r="B88" s="278">
        <v>130</v>
      </c>
      <c r="C88" s="279">
        <v>3368.3</v>
      </c>
      <c r="E88" s="202">
        <f t="shared" si="18"/>
        <v>564050</v>
      </c>
      <c r="F88" s="203" t="str">
        <f>IFERROR(_xlfn.XLOOKUP($E88,'Product Cost - Price'!$B$5:$B$301,'Product Cost - Price'!$E$5:$E$301),"")</f>
        <v>Standard</v>
      </c>
      <c r="G88" s="203">
        <f>IFERROR(_xlfn.XLOOKUP($E88,'Product Cost - Price'!$B$5:$B$301,'Product Cost - Price'!$G$5:$G$301),"")</f>
        <v>20</v>
      </c>
      <c r="H88" s="204">
        <f>IFERROR(_xlfn.XLOOKUP($E88,'Product Cost - Price'!$B$5:$B$301,'Product Cost - Price'!$L$5:$L$301),"")</f>
        <v>0.90363681592039813</v>
      </c>
      <c r="I88" s="204">
        <f t="shared" si="19"/>
        <v>2349.4557213930352</v>
      </c>
      <c r="J88" s="204">
        <f>IFERROR(_xlfn.XLOOKUP($E88,'Product Cost - Price'!$B$5:$B$301,'Product Cost - Price'!$M$5:$M$301),"")</f>
        <v>0</v>
      </c>
      <c r="K88" s="204">
        <f t="shared" si="20"/>
        <v>0</v>
      </c>
      <c r="L88" s="204">
        <f>IFERROR(_xlfn.XLOOKUP($E88,'Product Cost - Price'!$B$5:$B$301,'Product Cost - Price'!$N$5:$N$301),"")</f>
        <v>8.5000000000000006E-2</v>
      </c>
      <c r="M88" s="204">
        <f t="shared" si="21"/>
        <v>221.00000000000003</v>
      </c>
      <c r="N88" s="204">
        <f>IFERROR(_xlfn.XLOOKUP($E88,'Product Cost - Price'!$B$5:$B$301,'Product Cost - Price'!$O$5:$O$301),"")</f>
        <v>0</v>
      </c>
      <c r="O88" s="204">
        <f t="shared" si="22"/>
        <v>0</v>
      </c>
      <c r="P88" s="204">
        <f>IFERROR(_xlfn.XLOOKUP($E88,'Product Cost - Price'!$B$5:$B$301,'Product Cost - Price'!$P$5:$P$301),"")</f>
        <v>6.25E-2</v>
      </c>
      <c r="Q88" s="204">
        <f t="shared" si="23"/>
        <v>8.125</v>
      </c>
      <c r="R88" s="204">
        <f>IFERROR(_xlfn.XLOOKUP($E88,'Product Cost - Price'!$B$5:$B$301,'Product Cost - Price'!$Q$5:$Q$301),"")</f>
        <v>1.4583333333333333</v>
      </c>
      <c r="S88" s="204">
        <f t="shared" si="24"/>
        <v>189.58333333333331</v>
      </c>
      <c r="U88" s="204">
        <f t="shared" si="25"/>
        <v>600.13594527363171</v>
      </c>
      <c r="V88" s="276">
        <f t="shared" si="26"/>
        <v>0.17817176180079911</v>
      </c>
    </row>
    <row r="89" spans="1:22" x14ac:dyDescent="0.3">
      <c r="A89" s="278" t="s">
        <v>719</v>
      </c>
      <c r="B89" s="280">
        <v>7900</v>
      </c>
      <c r="C89" s="279">
        <v>11613</v>
      </c>
      <c r="E89" s="202">
        <f t="shared" si="18"/>
        <v>564057</v>
      </c>
      <c r="F89" s="203" t="str">
        <f>IFERROR(_xlfn.XLOOKUP($E89,'Product Cost - Price'!$B$5:$B$301,'Product Cost - Price'!$E$5:$E$301),"")</f>
        <v>Bulka</v>
      </c>
      <c r="G89" s="203">
        <f>IFERROR(_xlfn.XLOOKUP($E89,'Product Cost - Price'!$B$5:$B$301,'Product Cost - Price'!$G$5:$G$301),"")</f>
        <v>1000</v>
      </c>
      <c r="H89" s="204">
        <f>IFERROR(_xlfn.XLOOKUP($E89,'Product Cost - Price'!$B$5:$B$301,'Product Cost - Price'!$L$5:$L$301),"")</f>
        <v>1.0457758892036515</v>
      </c>
      <c r="I89" s="204">
        <f t="shared" si="19"/>
        <v>8261.6295247088474</v>
      </c>
      <c r="J89" s="204">
        <f>IFERROR(_xlfn.XLOOKUP($E89,'Product Cost - Price'!$B$5:$B$301,'Product Cost - Price'!$M$5:$M$301),"")</f>
        <v>0</v>
      </c>
      <c r="K89" s="204">
        <f t="shared" si="20"/>
        <v>0</v>
      </c>
      <c r="L89" s="204">
        <f>IFERROR(_xlfn.XLOOKUP($E89,'Product Cost - Price'!$B$5:$B$301,'Product Cost - Price'!$N$5:$N$301),"")</f>
        <v>8.5000000000000006E-2</v>
      </c>
      <c r="M89" s="204">
        <f t="shared" si="21"/>
        <v>671.5</v>
      </c>
      <c r="N89" s="204">
        <f>IFERROR(_xlfn.XLOOKUP($E89,'Product Cost - Price'!$B$5:$B$301,'Product Cost - Price'!$O$5:$O$301),"")</f>
        <v>0</v>
      </c>
      <c r="O89" s="204">
        <f t="shared" si="22"/>
        <v>0</v>
      </c>
      <c r="P89" s="204">
        <f>IFERROR(_xlfn.XLOOKUP($E89,'Product Cost - Price'!$B$5:$B$301,'Product Cost - Price'!$P$5:$P$301),"")</f>
        <v>1.72E-2</v>
      </c>
      <c r="Q89" s="204">
        <f t="shared" si="23"/>
        <v>135.88</v>
      </c>
      <c r="R89" s="204">
        <f>IFERROR(_xlfn.XLOOKUP($E89,'Product Cost - Price'!$B$5:$B$301,'Product Cost - Price'!$Q$5:$Q$301),"")</f>
        <v>7.0000000000000007E-2</v>
      </c>
      <c r="S89" s="204">
        <f t="shared" si="24"/>
        <v>553</v>
      </c>
      <c r="U89" s="204">
        <f t="shared" si="25"/>
        <v>1990.9904752911525</v>
      </c>
      <c r="V89" s="276">
        <f t="shared" si="26"/>
        <v>0.17144497333084927</v>
      </c>
    </row>
    <row r="90" spans="1:22" x14ac:dyDescent="0.3">
      <c r="A90" s="278" t="s">
        <v>720</v>
      </c>
      <c r="B90" s="278">
        <v>800</v>
      </c>
      <c r="C90" s="279">
        <v>1184</v>
      </c>
      <c r="E90" s="202">
        <f t="shared" si="18"/>
        <v>564061</v>
      </c>
      <c r="F90" s="203" t="str">
        <f>IFERROR(_xlfn.XLOOKUP($E90,'Product Cost - Price'!$B$5:$B$301,'Product Cost - Price'!$E$5:$E$301),"")</f>
        <v>Bulka</v>
      </c>
      <c r="G90" s="203">
        <f>IFERROR(_xlfn.XLOOKUP($E90,'Product Cost - Price'!$B$5:$B$301,'Product Cost - Price'!$G$5:$G$301),"")</f>
        <v>1000</v>
      </c>
      <c r="H90" s="204">
        <f>IFERROR(_xlfn.XLOOKUP($E90,'Product Cost - Price'!$B$5:$B$301,'Product Cost - Price'!$L$5:$L$301),"")</f>
        <v>1.0592157842157843</v>
      </c>
      <c r="I90" s="204">
        <f t="shared" si="19"/>
        <v>847.37262737262745</v>
      </c>
      <c r="J90" s="204">
        <f>IFERROR(_xlfn.XLOOKUP($E90,'Product Cost - Price'!$B$5:$B$301,'Product Cost - Price'!$M$5:$M$301),"")</f>
        <v>0</v>
      </c>
      <c r="K90" s="204">
        <f t="shared" si="20"/>
        <v>0</v>
      </c>
      <c r="L90" s="204">
        <f>IFERROR(_xlfn.XLOOKUP($E90,'Product Cost - Price'!$B$5:$B$301,'Product Cost - Price'!$N$5:$N$301),"")</f>
        <v>8.5000000000000006E-2</v>
      </c>
      <c r="M90" s="204">
        <f t="shared" si="21"/>
        <v>68</v>
      </c>
      <c r="N90" s="204">
        <f>IFERROR(_xlfn.XLOOKUP($E90,'Product Cost - Price'!$B$5:$B$301,'Product Cost - Price'!$O$5:$O$301),"")</f>
        <v>0</v>
      </c>
      <c r="O90" s="204">
        <f t="shared" si="22"/>
        <v>0</v>
      </c>
      <c r="P90" s="204">
        <f>IFERROR(_xlfn.XLOOKUP($E90,'Product Cost - Price'!$B$5:$B$301,'Product Cost - Price'!$P$5:$P$301),"")</f>
        <v>1.72E-2</v>
      </c>
      <c r="Q90" s="204">
        <f t="shared" si="23"/>
        <v>13.76</v>
      </c>
      <c r="R90" s="204">
        <f>IFERROR(_xlfn.XLOOKUP($E90,'Product Cost - Price'!$B$5:$B$301,'Product Cost - Price'!$Q$5:$Q$301),"")</f>
        <v>7.0000000000000007E-2</v>
      </c>
      <c r="S90" s="204">
        <f t="shared" si="24"/>
        <v>56.000000000000007</v>
      </c>
      <c r="U90" s="204">
        <f t="shared" si="25"/>
        <v>198.86737262737256</v>
      </c>
      <c r="V90" s="276">
        <f t="shared" si="26"/>
        <v>0.16796230796230791</v>
      </c>
    </row>
    <row r="91" spans="1:22" x14ac:dyDescent="0.3">
      <c r="A91" s="278" t="s">
        <v>721</v>
      </c>
      <c r="B91" s="278">
        <v>251</v>
      </c>
      <c r="C91" s="279">
        <v>4663.58</v>
      </c>
      <c r="E91" s="202">
        <f t="shared" si="18"/>
        <v>564062</v>
      </c>
      <c r="F91" s="203" t="str">
        <f>IFERROR(_xlfn.XLOOKUP($E91,'Product Cost - Price'!$B$5:$B$301,'Product Cost - Price'!$E$5:$E$301),"")</f>
        <v>Standard</v>
      </c>
      <c r="G91" s="203">
        <f>IFERROR(_xlfn.XLOOKUP($E91,'Product Cost - Price'!$B$5:$B$301,'Product Cost - Price'!$G$5:$G$301),"")</f>
        <v>15</v>
      </c>
      <c r="H91" s="204">
        <f>IFERROR(_xlfn.XLOOKUP($E91,'Product Cost - Price'!$B$5:$B$301,'Product Cost - Price'!$L$5:$L$301),"")</f>
        <v>0.87259290641871623</v>
      </c>
      <c r="I91" s="204">
        <f t="shared" si="19"/>
        <v>3285.3122926664664</v>
      </c>
      <c r="J91" s="204">
        <f>IFERROR(_xlfn.XLOOKUP($E91,'Product Cost - Price'!$B$5:$B$301,'Product Cost - Price'!$M$5:$M$301),"")</f>
        <v>0</v>
      </c>
      <c r="K91" s="204">
        <f t="shared" si="20"/>
        <v>0</v>
      </c>
      <c r="L91" s="204">
        <f>IFERROR(_xlfn.XLOOKUP($E91,'Product Cost - Price'!$B$5:$B$301,'Product Cost - Price'!$N$5:$N$301),"")</f>
        <v>8.5000000000000006E-2</v>
      </c>
      <c r="M91" s="204">
        <f t="shared" si="21"/>
        <v>320.02500000000003</v>
      </c>
      <c r="N91" s="204">
        <f>IFERROR(_xlfn.XLOOKUP($E91,'Product Cost - Price'!$B$5:$B$301,'Product Cost - Price'!$O$5:$O$301),"")</f>
        <v>0</v>
      </c>
      <c r="O91" s="204">
        <f t="shared" si="22"/>
        <v>0</v>
      </c>
      <c r="P91" s="204">
        <f>IFERROR(_xlfn.XLOOKUP($E91,'Product Cost - Price'!$B$5:$B$301,'Product Cost - Price'!$P$5:$P$301),"")</f>
        <v>6.25E-2</v>
      </c>
      <c r="Q91" s="204">
        <f t="shared" si="23"/>
        <v>15.6875</v>
      </c>
      <c r="R91" s="204">
        <f>IFERROR(_xlfn.XLOOKUP($E91,'Product Cost - Price'!$B$5:$B$301,'Product Cost - Price'!$Q$5:$Q$301),"")</f>
        <v>1.0606060606060606</v>
      </c>
      <c r="S91" s="204">
        <f t="shared" si="24"/>
        <v>266.21212121212119</v>
      </c>
      <c r="U91" s="204">
        <f t="shared" si="25"/>
        <v>776.34308612141217</v>
      </c>
      <c r="V91" s="276">
        <f t="shared" si="26"/>
        <v>0.16646934031825597</v>
      </c>
    </row>
    <row r="92" spans="1:22" x14ac:dyDescent="0.3">
      <c r="A92" s="278" t="s">
        <v>722</v>
      </c>
      <c r="B92" s="280">
        <v>9600</v>
      </c>
      <c r="C92" s="279">
        <v>11808</v>
      </c>
      <c r="E92" s="202">
        <f t="shared" si="18"/>
        <v>564063</v>
      </c>
      <c r="F92" s="203" t="str">
        <f>IFERROR(_xlfn.XLOOKUP($E92,'Product Cost - Price'!$B$5:$B$301,'Product Cost - Price'!$E$5:$E$301),"")</f>
        <v>Bulka</v>
      </c>
      <c r="G92" s="203">
        <f>IFERROR(_xlfn.XLOOKUP($E92,'Product Cost - Price'!$B$5:$B$301,'Product Cost - Price'!$G$5:$G$301),"")</f>
        <v>1000</v>
      </c>
      <c r="H92" s="204">
        <f>IFERROR(_xlfn.XLOOKUP($E92,'Product Cost - Price'!$B$5:$B$301,'Product Cost - Price'!$L$5:$L$301),"")</f>
        <v>0.87259290641871623</v>
      </c>
      <c r="I92" s="204">
        <f t="shared" si="19"/>
        <v>8376.891901619676</v>
      </c>
      <c r="J92" s="204">
        <f>IFERROR(_xlfn.XLOOKUP($E92,'Product Cost - Price'!$B$5:$B$301,'Product Cost - Price'!$M$5:$M$301),"")</f>
        <v>0</v>
      </c>
      <c r="K92" s="204">
        <f t="shared" si="20"/>
        <v>0</v>
      </c>
      <c r="L92" s="204">
        <f>IFERROR(_xlfn.XLOOKUP($E92,'Product Cost - Price'!$B$5:$B$301,'Product Cost - Price'!$N$5:$N$301),"")</f>
        <v>8.5000000000000006E-2</v>
      </c>
      <c r="M92" s="204">
        <f t="shared" si="21"/>
        <v>816.00000000000011</v>
      </c>
      <c r="N92" s="204">
        <f>IFERROR(_xlfn.XLOOKUP($E92,'Product Cost - Price'!$B$5:$B$301,'Product Cost - Price'!$O$5:$O$301),"")</f>
        <v>0</v>
      </c>
      <c r="O92" s="204">
        <f t="shared" si="22"/>
        <v>0</v>
      </c>
      <c r="P92" s="204">
        <f>IFERROR(_xlfn.XLOOKUP($E92,'Product Cost - Price'!$B$5:$B$301,'Product Cost - Price'!$P$5:$P$301),"")</f>
        <v>1.72E-2</v>
      </c>
      <c r="Q92" s="204">
        <f t="shared" si="23"/>
        <v>165.12</v>
      </c>
      <c r="R92" s="204">
        <f>IFERROR(_xlfn.XLOOKUP($E92,'Product Cost - Price'!$B$5:$B$301,'Product Cost - Price'!$Q$5:$Q$301),"")</f>
        <v>7.0000000000000007E-2</v>
      </c>
      <c r="S92" s="204">
        <f t="shared" si="24"/>
        <v>672.00000000000011</v>
      </c>
      <c r="U92" s="204">
        <f t="shared" si="25"/>
        <v>1777.9880983803241</v>
      </c>
      <c r="V92" s="276">
        <f t="shared" si="26"/>
        <v>0.15057487283031201</v>
      </c>
    </row>
    <row r="93" spans="1:22" x14ac:dyDescent="0.3">
      <c r="A93" s="278" t="s">
        <v>723</v>
      </c>
      <c r="B93" s="278">
        <v>248</v>
      </c>
      <c r="C93" s="279">
        <v>4672.32</v>
      </c>
      <c r="E93" s="202">
        <f t="shared" si="18"/>
        <v>564064</v>
      </c>
      <c r="F93" s="203" t="str">
        <f>IFERROR(_xlfn.XLOOKUP($E93,'Product Cost - Price'!$B$5:$B$301,'Product Cost - Price'!$E$5:$E$301),"")</f>
        <v>Standard</v>
      </c>
      <c r="G93" s="203">
        <f>IFERROR(_xlfn.XLOOKUP($E93,'Product Cost - Price'!$B$5:$B$301,'Product Cost - Price'!$G$5:$G$301),"")</f>
        <v>12</v>
      </c>
      <c r="H93" s="204">
        <f>IFERROR(_xlfn.XLOOKUP($E93,'Product Cost - Price'!$B$5:$B$301,'Product Cost - Price'!$L$5:$L$301),"")</f>
        <v>1.0557413</v>
      </c>
      <c r="I93" s="204">
        <f t="shared" si="19"/>
        <v>3141.8861087999999</v>
      </c>
      <c r="J93" s="204">
        <f>IFERROR(_xlfn.XLOOKUP($E93,'Product Cost - Price'!$B$5:$B$301,'Product Cost - Price'!$M$5:$M$301),"")</f>
        <v>0</v>
      </c>
      <c r="K93" s="204">
        <f t="shared" si="20"/>
        <v>0</v>
      </c>
      <c r="L93" s="204">
        <f>IFERROR(_xlfn.XLOOKUP($E93,'Product Cost - Price'!$B$5:$B$301,'Product Cost - Price'!$N$5:$N$301),"")</f>
        <v>8.5000000000000006E-2</v>
      </c>
      <c r="M93" s="204">
        <f t="shared" si="21"/>
        <v>252.96</v>
      </c>
      <c r="N93" s="204">
        <f>IFERROR(_xlfn.XLOOKUP($E93,'Product Cost - Price'!$B$5:$B$301,'Product Cost - Price'!$O$5:$O$301),"")</f>
        <v>0</v>
      </c>
      <c r="O93" s="204">
        <f t="shared" si="22"/>
        <v>0</v>
      </c>
      <c r="P93" s="204">
        <f>IFERROR(_xlfn.XLOOKUP($E93,'Product Cost - Price'!$B$5:$B$301,'Product Cost - Price'!$P$5:$P$301),"")</f>
        <v>6.25E-2</v>
      </c>
      <c r="Q93" s="204">
        <f t="shared" si="23"/>
        <v>15.5</v>
      </c>
      <c r="R93" s="204">
        <f>IFERROR(_xlfn.XLOOKUP($E93,'Product Cost - Price'!$B$5:$B$301,'Product Cost - Price'!$Q$5:$Q$301),"")</f>
        <v>1.6666666666666667</v>
      </c>
      <c r="S93" s="204">
        <f t="shared" si="24"/>
        <v>413.33333333333337</v>
      </c>
      <c r="U93" s="204">
        <f t="shared" si="25"/>
        <v>848.64055786666643</v>
      </c>
      <c r="V93" s="276">
        <f t="shared" si="26"/>
        <v>0.18163151450813866</v>
      </c>
    </row>
    <row r="94" spans="1:22" x14ac:dyDescent="0.3">
      <c r="A94" s="278" t="s">
        <v>724</v>
      </c>
      <c r="B94" s="280">
        <v>2966</v>
      </c>
      <c r="C94" s="279">
        <v>4478.66</v>
      </c>
      <c r="E94" s="202">
        <f t="shared" si="18"/>
        <v>564065</v>
      </c>
      <c r="F94" s="203" t="str">
        <f>IFERROR(_xlfn.XLOOKUP($E94,'Product Cost - Price'!$B$5:$B$301,'Product Cost - Price'!$E$5:$E$301),"")</f>
        <v>Bulka</v>
      </c>
      <c r="G94" s="203">
        <f>IFERROR(_xlfn.XLOOKUP($E94,'Product Cost - Price'!$B$5:$B$301,'Product Cost - Price'!$G$5:$G$301),"")</f>
        <v>1000</v>
      </c>
      <c r="H94" s="204">
        <f>IFERROR(_xlfn.XLOOKUP($E94,'Product Cost - Price'!$B$5:$B$301,'Product Cost - Price'!$L$5:$L$301),"")</f>
        <v>1.0557413</v>
      </c>
      <c r="I94" s="204">
        <f t="shared" si="19"/>
        <v>3131.3286957999999</v>
      </c>
      <c r="J94" s="204">
        <f>IFERROR(_xlfn.XLOOKUP($E94,'Product Cost - Price'!$B$5:$B$301,'Product Cost - Price'!$M$5:$M$301),"")</f>
        <v>0</v>
      </c>
      <c r="K94" s="204">
        <f t="shared" si="20"/>
        <v>0</v>
      </c>
      <c r="L94" s="204">
        <f>IFERROR(_xlfn.XLOOKUP($E94,'Product Cost - Price'!$B$5:$B$301,'Product Cost - Price'!$N$5:$N$301),"")</f>
        <v>8.5000000000000006E-2</v>
      </c>
      <c r="M94" s="204">
        <f t="shared" si="21"/>
        <v>252.11</v>
      </c>
      <c r="N94" s="204">
        <f>IFERROR(_xlfn.XLOOKUP($E94,'Product Cost - Price'!$B$5:$B$301,'Product Cost - Price'!$O$5:$O$301),"")</f>
        <v>0</v>
      </c>
      <c r="O94" s="204">
        <f t="shared" si="22"/>
        <v>0</v>
      </c>
      <c r="P94" s="204">
        <f>IFERROR(_xlfn.XLOOKUP($E94,'Product Cost - Price'!$B$5:$B$301,'Product Cost - Price'!$P$5:$P$301),"")</f>
        <v>1.72E-2</v>
      </c>
      <c r="Q94" s="204">
        <f t="shared" si="23"/>
        <v>51.0152</v>
      </c>
      <c r="R94" s="204">
        <f>IFERROR(_xlfn.XLOOKUP($E94,'Product Cost - Price'!$B$5:$B$301,'Product Cost - Price'!$Q$5:$Q$301),"")</f>
        <v>7.0000000000000007E-2</v>
      </c>
      <c r="S94" s="204">
        <f t="shared" si="24"/>
        <v>207.62000000000003</v>
      </c>
      <c r="U94" s="204">
        <f t="shared" si="25"/>
        <v>836.5861041999998</v>
      </c>
      <c r="V94" s="276">
        <f t="shared" si="26"/>
        <v>0.18679384105960262</v>
      </c>
    </row>
    <row r="95" spans="1:22" x14ac:dyDescent="0.3">
      <c r="A95" s="278" t="s">
        <v>725</v>
      </c>
      <c r="B95" s="280">
        <v>2434</v>
      </c>
      <c r="C95" s="279">
        <v>3091.18</v>
      </c>
      <c r="E95" s="202">
        <f t="shared" si="18"/>
        <v>564072</v>
      </c>
      <c r="F95" s="203" t="str">
        <f>IFERROR(_xlfn.XLOOKUP($E95,'Product Cost - Price'!$B$5:$B$301,'Product Cost - Price'!$E$5:$E$301),"")</f>
        <v>Bulka</v>
      </c>
      <c r="G95" s="203">
        <f>IFERROR(_xlfn.XLOOKUP($E95,'Product Cost - Price'!$B$5:$B$301,'Product Cost - Price'!$G$5:$G$301),"")</f>
        <v>1000</v>
      </c>
      <c r="H95" s="204">
        <f>IFERROR(_xlfn.XLOOKUP($E95,'Product Cost - Price'!$B$5:$B$301,'Product Cost - Price'!$L$5:$L$301),"")</f>
        <v>0.89027512690355326</v>
      </c>
      <c r="I95" s="204">
        <f t="shared" si="19"/>
        <v>2166.9296588832485</v>
      </c>
      <c r="J95" s="204">
        <f>IFERROR(_xlfn.XLOOKUP($E95,'Product Cost - Price'!$B$5:$B$301,'Product Cost - Price'!$M$5:$M$301),"")</f>
        <v>0</v>
      </c>
      <c r="K95" s="204">
        <f t="shared" si="20"/>
        <v>0</v>
      </c>
      <c r="L95" s="204">
        <f>IFERROR(_xlfn.XLOOKUP($E95,'Product Cost - Price'!$B$5:$B$301,'Product Cost - Price'!$N$5:$N$301),"")</f>
        <v>8.5000000000000006E-2</v>
      </c>
      <c r="M95" s="204">
        <f t="shared" si="21"/>
        <v>206.89000000000001</v>
      </c>
      <c r="N95" s="204">
        <f>IFERROR(_xlfn.XLOOKUP($E95,'Product Cost - Price'!$B$5:$B$301,'Product Cost - Price'!$O$5:$O$301),"")</f>
        <v>0</v>
      </c>
      <c r="O95" s="204">
        <f t="shared" si="22"/>
        <v>0</v>
      </c>
      <c r="P95" s="204">
        <f>IFERROR(_xlfn.XLOOKUP($E95,'Product Cost - Price'!$B$5:$B$301,'Product Cost - Price'!$P$5:$P$301),"")</f>
        <v>1.72E-2</v>
      </c>
      <c r="Q95" s="204">
        <f t="shared" si="23"/>
        <v>41.864800000000002</v>
      </c>
      <c r="R95" s="204">
        <f>IFERROR(_xlfn.XLOOKUP($E95,'Product Cost - Price'!$B$5:$B$301,'Product Cost - Price'!$Q$5:$Q$301),"")</f>
        <v>7.0000000000000007E-2</v>
      </c>
      <c r="S95" s="204">
        <f t="shared" si="24"/>
        <v>170.38000000000002</v>
      </c>
      <c r="U95" s="204">
        <f t="shared" si="25"/>
        <v>505.11554111675139</v>
      </c>
      <c r="V95" s="276">
        <f t="shared" si="26"/>
        <v>0.16340541188696595</v>
      </c>
    </row>
    <row r="96" spans="1:22" x14ac:dyDescent="0.3">
      <c r="A96" s="278" t="s">
        <v>726</v>
      </c>
      <c r="B96" s="278">
        <v>80</v>
      </c>
      <c r="C96" s="279">
        <v>2295.1999999999998</v>
      </c>
      <c r="E96" s="202">
        <f t="shared" si="18"/>
        <v>564073</v>
      </c>
      <c r="F96" s="203" t="str">
        <f>IFERROR(_xlfn.XLOOKUP($E96,'Product Cost - Price'!$B$5:$B$301,'Product Cost - Price'!$E$5:$E$301),"")</f>
        <v>Standard</v>
      </c>
      <c r="G96" s="203">
        <f>IFERROR(_xlfn.XLOOKUP($E96,'Product Cost - Price'!$B$5:$B$301,'Product Cost - Price'!$G$5:$G$301),"")</f>
        <v>20</v>
      </c>
      <c r="H96" s="204">
        <f>IFERROR(_xlfn.XLOOKUP($E96,'Product Cost - Price'!$B$5:$B$301,'Product Cost - Price'!$L$5:$L$301),"")</f>
        <v>1.01761225</v>
      </c>
      <c r="I96" s="204">
        <f t="shared" si="19"/>
        <v>1628.1795999999999</v>
      </c>
      <c r="J96" s="204">
        <f>IFERROR(_xlfn.XLOOKUP($E96,'Product Cost - Price'!$B$5:$B$301,'Product Cost - Price'!$M$5:$M$301),"")</f>
        <v>0</v>
      </c>
      <c r="K96" s="204">
        <f t="shared" si="20"/>
        <v>0</v>
      </c>
      <c r="L96" s="204">
        <f>IFERROR(_xlfn.XLOOKUP($E96,'Product Cost - Price'!$B$5:$B$301,'Product Cost - Price'!$N$5:$N$301),"")</f>
        <v>8.5000000000000006E-2</v>
      </c>
      <c r="M96" s="204">
        <f t="shared" si="21"/>
        <v>136</v>
      </c>
      <c r="N96" s="204">
        <f>IFERROR(_xlfn.XLOOKUP($E96,'Product Cost - Price'!$B$5:$B$301,'Product Cost - Price'!$O$5:$O$301),"")</f>
        <v>0</v>
      </c>
      <c r="O96" s="204">
        <f t="shared" si="22"/>
        <v>0</v>
      </c>
      <c r="P96" s="204">
        <f>IFERROR(_xlfn.XLOOKUP($E96,'Product Cost - Price'!$B$5:$B$301,'Product Cost - Price'!$P$5:$P$301),"")</f>
        <v>6.25E-2</v>
      </c>
      <c r="Q96" s="204">
        <f t="shared" si="23"/>
        <v>5</v>
      </c>
      <c r="R96" s="204">
        <f>IFERROR(_xlfn.XLOOKUP($E96,'Product Cost - Price'!$B$5:$B$301,'Product Cost - Price'!$Q$5:$Q$301),"")</f>
        <v>1.4583333333333333</v>
      </c>
      <c r="S96" s="204">
        <f t="shared" si="24"/>
        <v>116.66666666666666</v>
      </c>
      <c r="U96" s="204">
        <f t="shared" si="25"/>
        <v>409.35373333333325</v>
      </c>
      <c r="V96" s="276">
        <f t="shared" si="26"/>
        <v>0.1783520971302428</v>
      </c>
    </row>
    <row r="97" spans="1:22" x14ac:dyDescent="0.3">
      <c r="A97" s="278" t="s">
        <v>727</v>
      </c>
      <c r="B97" s="278">
        <v>91</v>
      </c>
      <c r="C97" s="279">
        <v>2244.06</v>
      </c>
      <c r="E97" s="202">
        <f t="shared" si="18"/>
        <v>564079</v>
      </c>
      <c r="F97" s="203" t="str">
        <f>IFERROR(_xlfn.XLOOKUP($E97,'Product Cost - Price'!$B$5:$B$301,'Product Cost - Price'!$E$5:$E$301),"")</f>
        <v>Standard</v>
      </c>
      <c r="G97" s="203">
        <f>IFERROR(_xlfn.XLOOKUP($E97,'Product Cost - Price'!$B$5:$B$301,'Product Cost - Price'!$G$5:$G$301),"")</f>
        <v>20</v>
      </c>
      <c r="H97" s="204">
        <f>IFERROR(_xlfn.XLOOKUP($E97,'Product Cost - Price'!$B$5:$B$301,'Product Cost - Price'!$L$5:$L$301),"")</f>
        <v>0.85439560439560436</v>
      </c>
      <c r="I97" s="204">
        <f t="shared" si="19"/>
        <v>1555</v>
      </c>
      <c r="J97" s="204">
        <f>IFERROR(_xlfn.XLOOKUP($E97,'Product Cost - Price'!$B$5:$B$301,'Product Cost - Price'!$M$5:$M$301),"")</f>
        <v>0</v>
      </c>
      <c r="K97" s="204">
        <f t="shared" si="20"/>
        <v>0</v>
      </c>
      <c r="L97" s="204">
        <f>IFERROR(_xlfn.XLOOKUP($E97,'Product Cost - Price'!$B$5:$B$301,'Product Cost - Price'!$N$5:$N$301),"")</f>
        <v>8.5000000000000006E-2</v>
      </c>
      <c r="M97" s="204">
        <f t="shared" si="21"/>
        <v>154.70000000000002</v>
      </c>
      <c r="N97" s="204">
        <f>IFERROR(_xlfn.XLOOKUP($E97,'Product Cost - Price'!$B$5:$B$301,'Product Cost - Price'!$O$5:$O$301),"")</f>
        <v>0</v>
      </c>
      <c r="O97" s="204">
        <f t="shared" si="22"/>
        <v>0</v>
      </c>
      <c r="P97" s="204">
        <f>IFERROR(_xlfn.XLOOKUP($E97,'Product Cost - Price'!$B$5:$B$301,'Product Cost - Price'!$P$5:$P$301),"")</f>
        <v>6.25E-2</v>
      </c>
      <c r="Q97" s="204">
        <f t="shared" si="23"/>
        <v>5.6875</v>
      </c>
      <c r="R97" s="204">
        <f>IFERROR(_xlfn.XLOOKUP($E97,'Product Cost - Price'!$B$5:$B$301,'Product Cost - Price'!$Q$5:$Q$301),"")</f>
        <v>1.4583333333333333</v>
      </c>
      <c r="S97" s="204">
        <f t="shared" si="24"/>
        <v>132.70833333333331</v>
      </c>
      <c r="U97" s="204">
        <f t="shared" si="25"/>
        <v>395.96416666666659</v>
      </c>
      <c r="V97" s="276">
        <f t="shared" si="26"/>
        <v>0.17644990181486528</v>
      </c>
    </row>
    <row r="98" spans="1:22" x14ac:dyDescent="0.3">
      <c r="A98" s="278" t="s">
        <v>728</v>
      </c>
      <c r="B98" s="278">
        <v>77</v>
      </c>
      <c r="C98" s="279">
        <v>2042.81</v>
      </c>
      <c r="E98" s="202">
        <f t="shared" si="18"/>
        <v>564081</v>
      </c>
      <c r="F98" s="203" t="str">
        <f>IFERROR(_xlfn.XLOOKUP($E98,'Product Cost - Price'!$B$5:$B$301,'Product Cost - Price'!$E$5:$E$301),"")</f>
        <v>Standard</v>
      </c>
      <c r="G98" s="203">
        <f>IFERROR(_xlfn.XLOOKUP($E98,'Product Cost - Price'!$B$5:$B$301,'Product Cost - Price'!$G$5:$G$301),"")</f>
        <v>20</v>
      </c>
      <c r="H98" s="204">
        <f>IFERROR(_xlfn.XLOOKUP($E98,'Product Cost - Price'!$B$5:$B$301,'Product Cost - Price'!$L$5:$L$301),"")</f>
        <v>0.92927749999999998</v>
      </c>
      <c r="I98" s="204">
        <f t="shared" si="19"/>
        <v>1431.0873499999998</v>
      </c>
      <c r="J98" s="204">
        <f>IFERROR(_xlfn.XLOOKUP($E98,'Product Cost - Price'!$B$5:$B$301,'Product Cost - Price'!$M$5:$M$301),"")</f>
        <v>0</v>
      </c>
      <c r="K98" s="204">
        <f t="shared" si="20"/>
        <v>0</v>
      </c>
      <c r="L98" s="204">
        <f>IFERROR(_xlfn.XLOOKUP($E98,'Product Cost - Price'!$B$5:$B$301,'Product Cost - Price'!$N$5:$N$301),"")</f>
        <v>8.5000000000000006E-2</v>
      </c>
      <c r="M98" s="204">
        <f t="shared" si="21"/>
        <v>130.9</v>
      </c>
      <c r="N98" s="204">
        <f>IFERROR(_xlfn.XLOOKUP($E98,'Product Cost - Price'!$B$5:$B$301,'Product Cost - Price'!$O$5:$O$301),"")</f>
        <v>0</v>
      </c>
      <c r="O98" s="204">
        <f t="shared" si="22"/>
        <v>0</v>
      </c>
      <c r="P98" s="204">
        <f>IFERROR(_xlfn.XLOOKUP($E98,'Product Cost - Price'!$B$5:$B$301,'Product Cost - Price'!$P$5:$P$301),"")</f>
        <v>6.25E-2</v>
      </c>
      <c r="Q98" s="204">
        <f t="shared" si="23"/>
        <v>4.8125</v>
      </c>
      <c r="R98" s="204">
        <f>IFERROR(_xlfn.XLOOKUP($E98,'Product Cost - Price'!$B$5:$B$301,'Product Cost - Price'!$Q$5:$Q$301),"")</f>
        <v>1.4583333333333333</v>
      </c>
      <c r="S98" s="204">
        <f t="shared" si="24"/>
        <v>112.29166666666666</v>
      </c>
      <c r="U98" s="204">
        <f t="shared" si="25"/>
        <v>363.71848333333355</v>
      </c>
      <c r="V98" s="276">
        <f t="shared" si="26"/>
        <v>0.17804812162331962</v>
      </c>
    </row>
    <row r="99" spans="1:22" x14ac:dyDescent="0.3">
      <c r="A99" s="278" t="s">
        <v>729</v>
      </c>
      <c r="B99" s="280">
        <v>2313</v>
      </c>
      <c r="C99" s="279">
        <v>3538.89</v>
      </c>
      <c r="E99" s="202">
        <f t="shared" si="18"/>
        <v>564086</v>
      </c>
      <c r="F99" s="203" t="str">
        <f>IFERROR(_xlfn.XLOOKUP($E99,'Product Cost - Price'!$B$5:$B$301,'Product Cost - Price'!$E$5:$E$301),"")</f>
        <v>Bulka</v>
      </c>
      <c r="G99" s="203">
        <f>IFERROR(_xlfn.XLOOKUP($E99,'Product Cost - Price'!$B$5:$B$301,'Product Cost - Price'!$G$5:$G$301),"")</f>
        <v>1000</v>
      </c>
      <c r="H99" s="204">
        <f>IFERROR(_xlfn.XLOOKUP($E99,'Product Cost - Price'!$B$5:$B$301,'Product Cost - Price'!$L$5:$L$301),"")</f>
        <v>1.1002099999999999</v>
      </c>
      <c r="I99" s="204">
        <f t="shared" si="19"/>
        <v>2544.7857299999996</v>
      </c>
      <c r="J99" s="204">
        <f>IFERROR(_xlfn.XLOOKUP($E99,'Product Cost - Price'!$B$5:$B$301,'Product Cost - Price'!$M$5:$M$301),"")</f>
        <v>0</v>
      </c>
      <c r="K99" s="204">
        <f t="shared" si="20"/>
        <v>0</v>
      </c>
      <c r="L99" s="204">
        <f>IFERROR(_xlfn.XLOOKUP($E99,'Product Cost - Price'!$B$5:$B$301,'Product Cost - Price'!$N$5:$N$301),"")</f>
        <v>8.5000000000000006E-2</v>
      </c>
      <c r="M99" s="204">
        <f t="shared" si="21"/>
        <v>196.60500000000002</v>
      </c>
      <c r="N99" s="204">
        <f>IFERROR(_xlfn.XLOOKUP($E99,'Product Cost - Price'!$B$5:$B$301,'Product Cost - Price'!$O$5:$O$301),"")</f>
        <v>0</v>
      </c>
      <c r="O99" s="204">
        <f t="shared" si="22"/>
        <v>0</v>
      </c>
      <c r="P99" s="204">
        <f>IFERROR(_xlfn.XLOOKUP($E99,'Product Cost - Price'!$B$5:$B$301,'Product Cost - Price'!$P$5:$P$301),"")</f>
        <v>1.72E-2</v>
      </c>
      <c r="Q99" s="204">
        <f t="shared" si="23"/>
        <v>39.7836</v>
      </c>
      <c r="R99" s="204">
        <f>IFERROR(_xlfn.XLOOKUP($E99,'Product Cost - Price'!$B$5:$B$301,'Product Cost - Price'!$Q$5:$Q$301),"")</f>
        <v>7.0000000000000007E-2</v>
      </c>
      <c r="S99" s="204">
        <f t="shared" si="24"/>
        <v>161.91000000000003</v>
      </c>
      <c r="U99" s="204">
        <f t="shared" si="25"/>
        <v>595.80567000000019</v>
      </c>
      <c r="V99" s="276">
        <f t="shared" si="26"/>
        <v>0.16835947712418306</v>
      </c>
    </row>
    <row r="100" spans="1:22" x14ac:dyDescent="0.3">
      <c r="A100" s="278" t="s">
        <v>730</v>
      </c>
      <c r="B100" s="278">
        <v>10</v>
      </c>
      <c r="C100" s="279">
        <v>479.1</v>
      </c>
      <c r="E100" s="202">
        <f t="shared" si="18"/>
        <v>564087</v>
      </c>
      <c r="F100" s="203" t="str">
        <f>IFERROR(_xlfn.XLOOKUP($E100,'Product Cost - Price'!$B$5:$B$301,'Product Cost - Price'!$E$5:$E$301),"")</f>
        <v>Standard</v>
      </c>
      <c r="G100" s="203">
        <f>IFERROR(_xlfn.XLOOKUP($E100,'Product Cost - Price'!$B$5:$B$301,'Product Cost - Price'!$G$5:$G$301),"")</f>
        <v>20</v>
      </c>
      <c r="H100" s="204">
        <f>IFERROR(_xlfn.XLOOKUP($E100,'Product Cost - Price'!$B$5:$B$301,'Product Cost - Price'!$L$5:$L$301),"")</f>
        <v>1.7867033333333333</v>
      </c>
      <c r="I100" s="204">
        <f t="shared" si="19"/>
        <v>357.34066666666661</v>
      </c>
      <c r="J100" s="204">
        <f>IFERROR(_xlfn.XLOOKUP($E100,'Product Cost - Price'!$B$5:$B$301,'Product Cost - Price'!$M$5:$M$301),"")</f>
        <v>0</v>
      </c>
      <c r="K100" s="204">
        <f t="shared" si="20"/>
        <v>0</v>
      </c>
      <c r="L100" s="204">
        <f>IFERROR(_xlfn.XLOOKUP($E100,'Product Cost - Price'!$B$5:$B$301,'Product Cost - Price'!$N$5:$N$301),"")</f>
        <v>8.5000000000000006E-2</v>
      </c>
      <c r="M100" s="204">
        <f t="shared" si="21"/>
        <v>17</v>
      </c>
      <c r="N100" s="204">
        <f>IFERROR(_xlfn.XLOOKUP($E100,'Product Cost - Price'!$B$5:$B$301,'Product Cost - Price'!$O$5:$O$301),"")</f>
        <v>0</v>
      </c>
      <c r="O100" s="204">
        <f t="shared" si="22"/>
        <v>0</v>
      </c>
      <c r="P100" s="204">
        <f>IFERROR(_xlfn.XLOOKUP($E100,'Product Cost - Price'!$B$5:$B$301,'Product Cost - Price'!$P$5:$P$301),"")</f>
        <v>6.25E-2</v>
      </c>
      <c r="Q100" s="204">
        <f t="shared" si="23"/>
        <v>0.625</v>
      </c>
      <c r="R100" s="204">
        <f>IFERROR(_xlfn.XLOOKUP($E100,'Product Cost - Price'!$B$5:$B$301,'Product Cost - Price'!$Q$5:$Q$301),"")</f>
        <v>1.4583333333333333</v>
      </c>
      <c r="S100" s="204">
        <f t="shared" si="24"/>
        <v>14.583333333333332</v>
      </c>
      <c r="U100" s="204">
        <f t="shared" si="25"/>
        <v>89.551000000000087</v>
      </c>
      <c r="V100" s="276">
        <f t="shared" si="26"/>
        <v>0.18691504905030282</v>
      </c>
    </row>
    <row r="101" spans="1:22" x14ac:dyDescent="0.3">
      <c r="A101" s="278" t="s">
        <v>731</v>
      </c>
      <c r="B101" s="280">
        <v>2400</v>
      </c>
      <c r="C101" s="279">
        <v>3120</v>
      </c>
      <c r="E101" s="202">
        <f t="shared" si="18"/>
        <v>564092</v>
      </c>
      <c r="F101" s="203" t="str">
        <f>IFERROR(_xlfn.XLOOKUP($E101,'Product Cost - Price'!$B$5:$B$301,'Product Cost - Price'!$E$5:$E$301),"")</f>
        <v>Bulka</v>
      </c>
      <c r="G101" s="203">
        <f>IFERROR(_xlfn.XLOOKUP($E101,'Product Cost - Price'!$B$5:$B$301,'Product Cost - Price'!$G$5:$G$301),"")</f>
        <v>1000</v>
      </c>
      <c r="H101" s="204">
        <f>IFERROR(_xlfn.XLOOKUP($E101,'Product Cost - Price'!$B$5:$B$301,'Product Cost - Price'!$L$5:$L$301),"")</f>
        <v>0.91082914572864315</v>
      </c>
      <c r="I101" s="204">
        <f t="shared" si="19"/>
        <v>2185.9899497487436</v>
      </c>
      <c r="J101" s="204">
        <f>IFERROR(_xlfn.XLOOKUP($E101,'Product Cost - Price'!$B$5:$B$301,'Product Cost - Price'!$M$5:$M$301),"")</f>
        <v>0</v>
      </c>
      <c r="K101" s="204">
        <f t="shared" si="20"/>
        <v>0</v>
      </c>
      <c r="L101" s="204">
        <f>IFERROR(_xlfn.XLOOKUP($E101,'Product Cost - Price'!$B$5:$B$301,'Product Cost - Price'!$N$5:$N$301),"")</f>
        <v>8.5000000000000006E-2</v>
      </c>
      <c r="M101" s="204">
        <f t="shared" si="21"/>
        <v>204.00000000000003</v>
      </c>
      <c r="N101" s="204">
        <f>IFERROR(_xlfn.XLOOKUP($E101,'Product Cost - Price'!$B$5:$B$301,'Product Cost - Price'!$O$5:$O$301),"")</f>
        <v>0</v>
      </c>
      <c r="O101" s="204">
        <f t="shared" si="22"/>
        <v>0</v>
      </c>
      <c r="P101" s="204">
        <f>IFERROR(_xlfn.XLOOKUP($E101,'Product Cost - Price'!$B$5:$B$301,'Product Cost - Price'!$P$5:$P$301),"")</f>
        <v>1.72E-2</v>
      </c>
      <c r="Q101" s="204">
        <f t="shared" si="23"/>
        <v>41.28</v>
      </c>
      <c r="R101" s="204">
        <f>IFERROR(_xlfn.XLOOKUP($E101,'Product Cost - Price'!$B$5:$B$301,'Product Cost - Price'!$Q$5:$Q$301),"")</f>
        <v>7.0000000000000007E-2</v>
      </c>
      <c r="S101" s="204">
        <f t="shared" si="24"/>
        <v>168.00000000000003</v>
      </c>
      <c r="U101" s="204">
        <f t="shared" si="25"/>
        <v>520.73005025125644</v>
      </c>
      <c r="V101" s="276">
        <f t="shared" si="26"/>
        <v>0.16690065713181296</v>
      </c>
    </row>
    <row r="102" spans="1:22" x14ac:dyDescent="0.3">
      <c r="A102" s="278" t="s">
        <v>732</v>
      </c>
      <c r="B102" s="278">
        <v>18</v>
      </c>
      <c r="C102" s="279">
        <v>458.82</v>
      </c>
      <c r="E102" s="202">
        <f t="shared" si="18"/>
        <v>564093</v>
      </c>
      <c r="F102" s="203" t="str">
        <f>IFERROR(_xlfn.XLOOKUP($E102,'Product Cost - Price'!$B$5:$B$301,'Product Cost - Price'!$E$5:$E$301),"")</f>
        <v>Standard</v>
      </c>
      <c r="G102" s="203">
        <f>IFERROR(_xlfn.XLOOKUP($E102,'Product Cost - Price'!$B$5:$B$301,'Product Cost - Price'!$G$5:$G$301),"")</f>
        <v>20</v>
      </c>
      <c r="H102" s="204">
        <f>IFERROR(_xlfn.XLOOKUP($E102,'Product Cost - Price'!$B$5:$B$301,'Product Cost - Price'!$L$5:$L$301),"")</f>
        <v>0.88812410501193328</v>
      </c>
      <c r="I102" s="204">
        <f t="shared" si="19"/>
        <v>319.72467780429594</v>
      </c>
      <c r="J102" s="204">
        <f>IFERROR(_xlfn.XLOOKUP($E102,'Product Cost - Price'!$B$5:$B$301,'Product Cost - Price'!$M$5:$M$301),"")</f>
        <v>0</v>
      </c>
      <c r="K102" s="204">
        <f t="shared" si="20"/>
        <v>0</v>
      </c>
      <c r="L102" s="204">
        <f>IFERROR(_xlfn.XLOOKUP($E102,'Product Cost - Price'!$B$5:$B$301,'Product Cost - Price'!$N$5:$N$301),"")</f>
        <v>8.5000000000000006E-2</v>
      </c>
      <c r="M102" s="204">
        <f t="shared" si="21"/>
        <v>30.6</v>
      </c>
      <c r="N102" s="204">
        <f>IFERROR(_xlfn.XLOOKUP($E102,'Product Cost - Price'!$B$5:$B$301,'Product Cost - Price'!$O$5:$O$301),"")</f>
        <v>0</v>
      </c>
      <c r="O102" s="204">
        <f t="shared" si="22"/>
        <v>0</v>
      </c>
      <c r="P102" s="204">
        <f>IFERROR(_xlfn.XLOOKUP($E102,'Product Cost - Price'!$B$5:$B$301,'Product Cost - Price'!$P$5:$P$301),"")</f>
        <v>6.25E-2</v>
      </c>
      <c r="Q102" s="204">
        <f t="shared" si="23"/>
        <v>1.125</v>
      </c>
      <c r="R102" s="204">
        <f>IFERROR(_xlfn.XLOOKUP($E102,'Product Cost - Price'!$B$5:$B$301,'Product Cost - Price'!$Q$5:$Q$301),"")</f>
        <v>1.4583333333333333</v>
      </c>
      <c r="S102" s="204">
        <f t="shared" si="24"/>
        <v>26.25</v>
      </c>
      <c r="U102" s="204">
        <f t="shared" si="25"/>
        <v>81.120322195704063</v>
      </c>
      <c r="V102" s="276">
        <f t="shared" si="26"/>
        <v>0.17680206223726966</v>
      </c>
    </row>
    <row r="103" spans="1:22" x14ac:dyDescent="0.3">
      <c r="A103" s="278" t="s">
        <v>733</v>
      </c>
      <c r="B103" s="280">
        <v>5617</v>
      </c>
      <c r="C103" s="279">
        <v>7133.59</v>
      </c>
      <c r="E103" s="202">
        <f t="shared" si="18"/>
        <v>564094</v>
      </c>
      <c r="F103" s="203" t="str">
        <f>IFERROR(_xlfn.XLOOKUP($E103,'Product Cost - Price'!$B$5:$B$301,'Product Cost - Price'!$E$5:$E$301),"")</f>
        <v>Bulka</v>
      </c>
      <c r="G103" s="203">
        <f>IFERROR(_xlfn.XLOOKUP($E103,'Product Cost - Price'!$B$5:$B$301,'Product Cost - Price'!$G$5:$G$301),"")</f>
        <v>1000</v>
      </c>
      <c r="H103" s="204">
        <f>IFERROR(_xlfn.XLOOKUP($E103,'Product Cost - Price'!$B$5:$B$301,'Product Cost - Price'!$L$5:$L$301),"")</f>
        <v>0.88812410501193328</v>
      </c>
      <c r="I103" s="204">
        <f t="shared" si="19"/>
        <v>4988.5930978520291</v>
      </c>
      <c r="J103" s="204">
        <f>IFERROR(_xlfn.XLOOKUP($E103,'Product Cost - Price'!$B$5:$B$301,'Product Cost - Price'!$M$5:$M$301),"")</f>
        <v>0</v>
      </c>
      <c r="K103" s="204">
        <f t="shared" si="20"/>
        <v>0</v>
      </c>
      <c r="L103" s="204">
        <f>IFERROR(_xlfn.XLOOKUP($E103,'Product Cost - Price'!$B$5:$B$301,'Product Cost - Price'!$N$5:$N$301),"")</f>
        <v>8.5000000000000006E-2</v>
      </c>
      <c r="M103" s="204">
        <f t="shared" si="21"/>
        <v>477.44500000000005</v>
      </c>
      <c r="N103" s="204">
        <f>IFERROR(_xlfn.XLOOKUP($E103,'Product Cost - Price'!$B$5:$B$301,'Product Cost - Price'!$O$5:$O$301),"")</f>
        <v>0</v>
      </c>
      <c r="O103" s="204">
        <f t="shared" si="22"/>
        <v>0</v>
      </c>
      <c r="P103" s="204">
        <f>IFERROR(_xlfn.XLOOKUP($E103,'Product Cost - Price'!$B$5:$B$301,'Product Cost - Price'!$P$5:$P$301),"")</f>
        <v>1.72E-2</v>
      </c>
      <c r="Q103" s="204">
        <f t="shared" si="23"/>
        <v>96.612399999999994</v>
      </c>
      <c r="R103" s="204">
        <f>IFERROR(_xlfn.XLOOKUP($E103,'Product Cost - Price'!$B$5:$B$301,'Product Cost - Price'!$Q$5:$Q$301),"")</f>
        <v>7.0000000000000007E-2</v>
      </c>
      <c r="S103" s="204">
        <f t="shared" si="24"/>
        <v>393.19000000000005</v>
      </c>
      <c r="U103" s="204">
        <f t="shared" si="25"/>
        <v>1177.7495021479708</v>
      </c>
      <c r="V103" s="276">
        <f t="shared" si="26"/>
        <v>0.16509912991186357</v>
      </c>
    </row>
    <row r="104" spans="1:22" x14ac:dyDescent="0.3">
      <c r="A104" s="278" t="s">
        <v>734</v>
      </c>
      <c r="B104" s="278">
        <v>50</v>
      </c>
      <c r="C104" s="279">
        <v>1949</v>
      </c>
      <c r="E104" s="202">
        <f t="shared" ref="E104:E135" si="27">IFERROR(VALUE(LEFT(A104,6)),"")</f>
        <v>564231</v>
      </c>
      <c r="F104" s="203" t="str">
        <f>IFERROR(_xlfn.XLOOKUP($E104,'Product Cost - Price'!$B$5:$B$301,'Product Cost - Price'!$E$5:$E$301),"")</f>
        <v>Standard</v>
      </c>
      <c r="G104" s="203">
        <f>IFERROR(_xlfn.XLOOKUP($E104,'Product Cost - Price'!$B$5:$B$301,'Product Cost - Price'!$G$5:$G$301),"")</f>
        <v>20</v>
      </c>
      <c r="H104" s="204">
        <f>IFERROR(_xlfn.XLOOKUP($E104,'Product Cost - Price'!$B$5:$B$301,'Product Cost - Price'!$L$5:$L$301),"")</f>
        <v>1.427597</v>
      </c>
      <c r="I104" s="204">
        <f t="shared" ref="I104:I135" si="28">IFERROR(IF($F104="Standard",H104*$G104*$B104,IF(OR($F104="Per Unit",$F104="Bulka"),H104*$B104,IF($F104="1.5 kg",H104*1.5*8*$B104,"No Std"))),0)</f>
        <v>1427.5970000000002</v>
      </c>
      <c r="J104" s="204">
        <f>IFERROR(_xlfn.XLOOKUP($E104,'Product Cost - Price'!$B$5:$B$301,'Product Cost - Price'!$M$5:$M$301),"")</f>
        <v>0</v>
      </c>
      <c r="K104" s="204">
        <f t="shared" ref="K104:K135" si="29">IFERROR(IF($F104="Standard",J104*$G104*$B104,IF(OR($F104="Per Unit",$F104="Bulka"),J104*$B104,IF($F104="1.5 kg",J104*1.5*8*$B104,"No Std"))),0)</f>
        <v>0</v>
      </c>
      <c r="L104" s="204">
        <f>IFERROR(_xlfn.XLOOKUP($E104,'Product Cost - Price'!$B$5:$B$301,'Product Cost - Price'!$N$5:$N$301),"")</f>
        <v>8.5000000000000006E-2</v>
      </c>
      <c r="M104" s="204">
        <f t="shared" ref="M104:M135" si="30">IFERROR(IF($F104="Standard",L104*$G104*$B104,IF(OR($F104="Per Unit",$F104="Bulka"),L104*$B104,IF($F104="1.5 kg",L104*1.5*8*$B104,"No Std"))),0)</f>
        <v>85.000000000000014</v>
      </c>
      <c r="N104" s="204">
        <f>IFERROR(_xlfn.XLOOKUP($E104,'Product Cost - Price'!$B$5:$B$301,'Product Cost - Price'!$O$5:$O$301),"")</f>
        <v>0</v>
      </c>
      <c r="O104" s="204">
        <f t="shared" ref="O104:O135" si="31">IFERROR(IF($F104="Standard",N104*$G104*$B104,IF(OR($F104="Per Unit",$F104="Bulka"),N104*$B104,IF($F104="1.5 kg",N104*1.5*8*$B104,"No Std"))),0)</f>
        <v>0</v>
      </c>
      <c r="P104" s="204">
        <f>IFERROR(_xlfn.XLOOKUP($E104,'Product Cost - Price'!$B$5:$B$301,'Product Cost - Price'!$P$5:$P$301),"")</f>
        <v>6.25E-2</v>
      </c>
      <c r="Q104" s="204">
        <f t="shared" ref="Q104:Q135" si="32">IF(P104="","",P104*B104)</f>
        <v>3.125</v>
      </c>
      <c r="R104" s="204">
        <f>IFERROR(_xlfn.XLOOKUP($E104,'Product Cost - Price'!$B$5:$B$301,'Product Cost - Price'!$Q$5:$Q$301),"")</f>
        <v>1.4583333333333333</v>
      </c>
      <c r="S104" s="204">
        <f t="shared" ref="S104:S135" si="33">IF(R104="","",R104*B104)</f>
        <v>72.916666666666657</v>
      </c>
      <c r="U104" s="204">
        <f t="shared" ref="U104:U135" si="34">IFERROR(C104-I104-K104-M104-O104-Q104-S104,"")</f>
        <v>360.36133333333316</v>
      </c>
      <c r="V104" s="276">
        <f t="shared" ref="V104:V135" si="35">IFERROR(U104/C104,"")</f>
        <v>0.1848955019668205</v>
      </c>
    </row>
    <row r="105" spans="1:22" x14ac:dyDescent="0.3">
      <c r="A105" s="278" t="s">
        <v>735</v>
      </c>
      <c r="B105" s="278">
        <v>30</v>
      </c>
      <c r="C105" s="279">
        <v>822.6</v>
      </c>
      <c r="E105" s="202">
        <f t="shared" si="27"/>
        <v>564294</v>
      </c>
      <c r="F105" s="203" t="str">
        <f>IFERROR(_xlfn.XLOOKUP($E105,'Product Cost - Price'!$B$5:$B$301,'Product Cost - Price'!$E$5:$E$301),"")</f>
        <v>Standard</v>
      </c>
      <c r="G105" s="203">
        <f>IFERROR(_xlfn.XLOOKUP($E105,'Product Cost - Price'!$B$5:$B$301,'Product Cost - Price'!$G$5:$G$301),"")</f>
        <v>20</v>
      </c>
      <c r="H105" s="204">
        <f>IFERROR(_xlfn.XLOOKUP($E105,'Product Cost - Price'!$B$5:$B$301,'Product Cost - Price'!$L$5:$L$301),"")</f>
        <v>0.96711800000000014</v>
      </c>
      <c r="I105" s="204">
        <f t="shared" si="28"/>
        <v>580.27080000000012</v>
      </c>
      <c r="J105" s="204">
        <f>IFERROR(_xlfn.XLOOKUP($E105,'Product Cost - Price'!$B$5:$B$301,'Product Cost - Price'!$M$5:$M$301),"")</f>
        <v>0</v>
      </c>
      <c r="K105" s="204">
        <f t="shared" si="29"/>
        <v>0</v>
      </c>
      <c r="L105" s="204">
        <f>IFERROR(_xlfn.XLOOKUP($E105,'Product Cost - Price'!$B$5:$B$301,'Product Cost - Price'!$N$5:$N$301),"")</f>
        <v>8.5000000000000006E-2</v>
      </c>
      <c r="M105" s="204">
        <f t="shared" si="30"/>
        <v>51.000000000000007</v>
      </c>
      <c r="N105" s="204">
        <f>IFERROR(_xlfn.XLOOKUP($E105,'Product Cost - Price'!$B$5:$B$301,'Product Cost - Price'!$O$5:$O$301),"")</f>
        <v>0</v>
      </c>
      <c r="O105" s="204">
        <f t="shared" si="31"/>
        <v>0</v>
      </c>
      <c r="P105" s="204">
        <f>IFERROR(_xlfn.XLOOKUP($E105,'Product Cost - Price'!$B$5:$B$301,'Product Cost - Price'!$P$5:$P$301),"")</f>
        <v>6.25E-2</v>
      </c>
      <c r="Q105" s="204">
        <f t="shared" si="32"/>
        <v>1.875</v>
      </c>
      <c r="R105" s="204">
        <f>IFERROR(_xlfn.XLOOKUP($E105,'Product Cost - Price'!$B$5:$B$301,'Product Cost - Price'!$Q$5:$Q$301),"")</f>
        <v>1.4583333333333333</v>
      </c>
      <c r="S105" s="204">
        <f t="shared" si="33"/>
        <v>43.75</v>
      </c>
      <c r="U105" s="204">
        <f t="shared" si="34"/>
        <v>145.7041999999999</v>
      </c>
      <c r="V105" s="276">
        <f t="shared" si="35"/>
        <v>0.17712642839776307</v>
      </c>
    </row>
    <row r="106" spans="1:22" x14ac:dyDescent="0.3">
      <c r="A106" s="278" t="s">
        <v>736</v>
      </c>
      <c r="B106" s="280">
        <v>1188</v>
      </c>
      <c r="C106" s="279">
        <v>15301.44</v>
      </c>
      <c r="E106" s="202">
        <f t="shared" si="27"/>
        <v>565667</v>
      </c>
      <c r="F106" s="203" t="str">
        <f>IFERROR(_xlfn.XLOOKUP($E106,'Product Cost - Price'!$B$5:$B$301,'Product Cost - Price'!$E$5:$E$301),"")</f>
        <v>Standard</v>
      </c>
      <c r="G106" s="203">
        <f>IFERROR(_xlfn.XLOOKUP($E106,'Product Cost - Price'!$B$5:$B$301,'Product Cost - Price'!$G$5:$G$301),"")</f>
        <v>18</v>
      </c>
      <c r="H106" s="204">
        <f>IFERROR(_xlfn.XLOOKUP($E106,'Product Cost - Price'!$B$5:$B$301,'Product Cost - Price'!$L$5:$L$301),"")</f>
        <v>0.49892500000000001</v>
      </c>
      <c r="I106" s="204">
        <f t="shared" si="28"/>
        <v>10669.012200000001</v>
      </c>
      <c r="J106" s="204">
        <f>IFERROR(_xlfn.XLOOKUP($E106,'Product Cost - Price'!$B$5:$B$301,'Product Cost - Price'!$M$5:$M$301),"")</f>
        <v>0</v>
      </c>
      <c r="K106" s="204">
        <f t="shared" si="29"/>
        <v>0</v>
      </c>
      <c r="L106" s="204">
        <f>IFERROR(_xlfn.XLOOKUP($E106,'Product Cost - Price'!$B$5:$B$301,'Product Cost - Price'!$N$5:$N$301),"")</f>
        <v>8.4319999999999992E-2</v>
      </c>
      <c r="M106" s="204">
        <f t="shared" si="30"/>
        <v>1803.0988799999998</v>
      </c>
      <c r="N106" s="204">
        <f>IFERROR(_xlfn.XLOOKUP($E106,'Product Cost - Price'!$B$5:$B$301,'Product Cost - Price'!$O$5:$O$301),"")</f>
        <v>0</v>
      </c>
      <c r="O106" s="204">
        <f t="shared" si="31"/>
        <v>0</v>
      </c>
      <c r="P106" s="204">
        <f>IFERROR(_xlfn.XLOOKUP($E106,'Product Cost - Price'!$B$5:$B$301,'Product Cost - Price'!$P$5:$P$301),"")</f>
        <v>0.65</v>
      </c>
      <c r="Q106" s="204">
        <f t="shared" si="32"/>
        <v>772.2</v>
      </c>
      <c r="R106" s="204">
        <f>IFERROR(_xlfn.XLOOKUP($E106,'Product Cost - Price'!$B$5:$B$301,'Product Cost - Price'!$Q$5:$Q$301),"")</f>
        <v>1.5451851851851852</v>
      </c>
      <c r="S106" s="204">
        <f t="shared" si="33"/>
        <v>1835.68</v>
      </c>
      <c r="U106" s="204">
        <f t="shared" si="34"/>
        <v>221.44892000000004</v>
      </c>
      <c r="V106" s="276">
        <f t="shared" si="35"/>
        <v>1.4472423510466991E-2</v>
      </c>
    </row>
    <row r="107" spans="1:22" x14ac:dyDescent="0.3">
      <c r="A107" s="278" t="s">
        <v>737</v>
      </c>
      <c r="B107" s="278">
        <v>384</v>
      </c>
      <c r="C107" s="279">
        <v>5207.04</v>
      </c>
      <c r="E107" s="202">
        <f t="shared" si="27"/>
        <v>565668</v>
      </c>
      <c r="F107" s="203" t="str">
        <f>IFERROR(_xlfn.XLOOKUP($E107,'Product Cost - Price'!$B$5:$B$301,'Product Cost - Price'!$E$5:$E$301),"")</f>
        <v>Standard</v>
      </c>
      <c r="G107" s="203">
        <f>IFERROR(_xlfn.XLOOKUP($E107,'Product Cost - Price'!$B$5:$B$301,'Product Cost - Price'!$G$5:$G$301),"")</f>
        <v>20</v>
      </c>
      <c r="H107" s="204">
        <f>IFERROR(_xlfn.XLOOKUP($E107,'Product Cost - Price'!$B$5:$B$301,'Product Cost - Price'!$L$5:$L$301),"")</f>
        <v>0.44524525000000004</v>
      </c>
      <c r="I107" s="204">
        <f t="shared" si="28"/>
        <v>3419.4835200000007</v>
      </c>
      <c r="J107" s="204">
        <f>IFERROR(_xlfn.XLOOKUP($E107,'Product Cost - Price'!$B$5:$B$301,'Product Cost - Price'!$M$5:$M$301),"")</f>
        <v>0</v>
      </c>
      <c r="K107" s="204">
        <f t="shared" si="29"/>
        <v>0</v>
      </c>
      <c r="L107" s="204">
        <f>IFERROR(_xlfn.XLOOKUP($E107,'Product Cost - Price'!$B$5:$B$301,'Product Cost - Price'!$N$5:$N$301),"")</f>
        <v>8.4319999999999992E-2</v>
      </c>
      <c r="M107" s="204">
        <f t="shared" si="30"/>
        <v>647.57759999999996</v>
      </c>
      <c r="N107" s="204">
        <f>IFERROR(_xlfn.XLOOKUP($E107,'Product Cost - Price'!$B$5:$B$301,'Product Cost - Price'!$O$5:$O$301),"")</f>
        <v>0</v>
      </c>
      <c r="O107" s="204">
        <f t="shared" si="31"/>
        <v>0</v>
      </c>
      <c r="P107" s="204">
        <f>IFERROR(_xlfn.XLOOKUP($E107,'Product Cost - Price'!$B$5:$B$301,'Product Cost - Price'!$P$5:$P$301),"")</f>
        <v>0.65</v>
      </c>
      <c r="Q107" s="204">
        <f t="shared" si="32"/>
        <v>249.60000000000002</v>
      </c>
      <c r="R107" s="204">
        <f>IFERROR(_xlfn.XLOOKUP($E107,'Product Cost - Price'!$B$5:$B$301,'Product Cost - Price'!$Q$5:$Q$301),"")</f>
        <v>1.7383333333333333</v>
      </c>
      <c r="S107" s="204">
        <f t="shared" si="33"/>
        <v>667.52</v>
      </c>
      <c r="U107" s="204">
        <f t="shared" si="34"/>
        <v>222.8588799999992</v>
      </c>
      <c r="V107" s="276">
        <f t="shared" si="35"/>
        <v>4.2799532940019515E-2</v>
      </c>
    </row>
    <row r="108" spans="1:22" x14ac:dyDescent="0.3">
      <c r="A108" s="278" t="s">
        <v>738</v>
      </c>
      <c r="B108" s="278">
        <v>918</v>
      </c>
      <c r="C108" s="279">
        <v>12833.64</v>
      </c>
      <c r="E108" s="202">
        <f t="shared" si="27"/>
        <v>565669</v>
      </c>
      <c r="F108" s="203" t="str">
        <f>IFERROR(_xlfn.XLOOKUP($E108,'Product Cost - Price'!$B$5:$B$301,'Product Cost - Price'!$E$5:$E$301),"")</f>
        <v>Standard</v>
      </c>
      <c r="G108" s="203">
        <f>IFERROR(_xlfn.XLOOKUP($E108,'Product Cost - Price'!$B$5:$B$301,'Product Cost - Price'!$G$5:$G$301),"")</f>
        <v>18</v>
      </c>
      <c r="H108" s="204">
        <f>IFERROR(_xlfn.XLOOKUP($E108,'Product Cost - Price'!$B$5:$B$301,'Product Cost - Price'!$L$5:$L$301),"")</f>
        <v>0.5754045000000001</v>
      </c>
      <c r="I108" s="204">
        <f t="shared" si="28"/>
        <v>9507.9839580000025</v>
      </c>
      <c r="J108" s="204">
        <f>IFERROR(_xlfn.XLOOKUP($E108,'Product Cost - Price'!$B$5:$B$301,'Product Cost - Price'!$M$5:$M$301),"")</f>
        <v>0</v>
      </c>
      <c r="K108" s="204">
        <f t="shared" si="29"/>
        <v>0</v>
      </c>
      <c r="L108" s="204">
        <f>IFERROR(_xlfn.XLOOKUP($E108,'Product Cost - Price'!$B$5:$B$301,'Product Cost - Price'!$N$5:$N$301),"")</f>
        <v>8.4319999999999992E-2</v>
      </c>
      <c r="M108" s="204">
        <f t="shared" si="30"/>
        <v>1393.3036799999998</v>
      </c>
      <c r="N108" s="204">
        <f>IFERROR(_xlfn.XLOOKUP($E108,'Product Cost - Price'!$B$5:$B$301,'Product Cost - Price'!$O$5:$O$301),"")</f>
        <v>0</v>
      </c>
      <c r="O108" s="204">
        <f t="shared" si="31"/>
        <v>0</v>
      </c>
      <c r="P108" s="204">
        <f>IFERROR(_xlfn.XLOOKUP($E108,'Product Cost - Price'!$B$5:$B$301,'Product Cost - Price'!$P$5:$P$301),"")</f>
        <v>0.65</v>
      </c>
      <c r="Q108" s="204">
        <f t="shared" si="32"/>
        <v>596.70000000000005</v>
      </c>
      <c r="R108" s="204">
        <f>IFERROR(_xlfn.XLOOKUP($E108,'Product Cost - Price'!$B$5:$B$301,'Product Cost - Price'!$Q$5:$Q$301),"")</f>
        <v>1.5451851851851852</v>
      </c>
      <c r="S108" s="204">
        <f t="shared" si="33"/>
        <v>1418.48</v>
      </c>
      <c r="U108" s="204">
        <f t="shared" si="34"/>
        <v>-82.827638000002935</v>
      </c>
      <c r="V108" s="276">
        <f t="shared" si="35"/>
        <v>-6.4539474381393692E-3</v>
      </c>
    </row>
    <row r="109" spans="1:22" x14ac:dyDescent="0.3">
      <c r="A109" s="278" t="s">
        <v>739</v>
      </c>
      <c r="B109" s="278">
        <v>240</v>
      </c>
      <c r="C109" s="279">
        <v>3708</v>
      </c>
      <c r="E109" s="202">
        <f t="shared" si="27"/>
        <v>565671</v>
      </c>
      <c r="F109" s="203" t="str">
        <f>IFERROR(_xlfn.XLOOKUP($E109,'Product Cost - Price'!$B$5:$B$301,'Product Cost - Price'!$E$5:$E$301),"")</f>
        <v>Standard</v>
      </c>
      <c r="G109" s="203">
        <f>IFERROR(_xlfn.XLOOKUP($E109,'Product Cost - Price'!$B$5:$B$301,'Product Cost - Price'!$G$5:$G$301),"")</f>
        <v>20</v>
      </c>
      <c r="H109" s="204">
        <f>IFERROR(_xlfn.XLOOKUP($E109,'Product Cost - Price'!$B$5:$B$301,'Product Cost - Price'!$L$5:$L$301),"")</f>
        <v>0.52188900000000005</v>
      </c>
      <c r="I109" s="204">
        <f t="shared" si="28"/>
        <v>2505.0672</v>
      </c>
      <c r="J109" s="204">
        <f>IFERROR(_xlfn.XLOOKUP($E109,'Product Cost - Price'!$B$5:$B$301,'Product Cost - Price'!$M$5:$M$301),"")</f>
        <v>0</v>
      </c>
      <c r="K109" s="204">
        <f t="shared" si="29"/>
        <v>0</v>
      </c>
      <c r="L109" s="204">
        <f>IFERROR(_xlfn.XLOOKUP($E109,'Product Cost - Price'!$B$5:$B$301,'Product Cost - Price'!$N$5:$N$301),"")</f>
        <v>8.4319999999999992E-2</v>
      </c>
      <c r="M109" s="204">
        <f t="shared" si="30"/>
        <v>404.73599999999999</v>
      </c>
      <c r="N109" s="204">
        <f>IFERROR(_xlfn.XLOOKUP($E109,'Product Cost - Price'!$B$5:$B$301,'Product Cost - Price'!$O$5:$O$301),"")</f>
        <v>0</v>
      </c>
      <c r="O109" s="204">
        <f t="shared" si="31"/>
        <v>0</v>
      </c>
      <c r="P109" s="204">
        <f>IFERROR(_xlfn.XLOOKUP($E109,'Product Cost - Price'!$B$5:$B$301,'Product Cost - Price'!$P$5:$P$301),"")</f>
        <v>0.65</v>
      </c>
      <c r="Q109" s="204">
        <f t="shared" si="32"/>
        <v>156</v>
      </c>
      <c r="R109" s="204">
        <f>IFERROR(_xlfn.XLOOKUP($E109,'Product Cost - Price'!$B$5:$B$301,'Product Cost - Price'!$Q$5:$Q$301),"")</f>
        <v>1.7383333333333333</v>
      </c>
      <c r="S109" s="204">
        <f t="shared" si="33"/>
        <v>417.2</v>
      </c>
      <c r="U109" s="204">
        <f t="shared" si="34"/>
        <v>224.99680000000006</v>
      </c>
      <c r="V109" s="276">
        <f t="shared" si="35"/>
        <v>6.0678748651564203E-2</v>
      </c>
    </row>
    <row r="110" spans="1:22" x14ac:dyDescent="0.3">
      <c r="A110" s="278" t="s">
        <v>740</v>
      </c>
      <c r="B110" s="278">
        <v>40</v>
      </c>
      <c r="C110" s="279">
        <v>1238.8</v>
      </c>
      <c r="E110" s="202">
        <f t="shared" si="27"/>
        <v>566843</v>
      </c>
      <c r="F110" s="203" t="str">
        <f>IFERROR(_xlfn.XLOOKUP($E110,'Product Cost - Price'!$B$5:$B$301,'Product Cost - Price'!$E$5:$E$301),"")</f>
        <v>Standard</v>
      </c>
      <c r="G110" s="203">
        <f>IFERROR(_xlfn.XLOOKUP($E110,'Product Cost - Price'!$B$5:$B$301,'Product Cost - Price'!$G$5:$G$301),"")</f>
        <v>20</v>
      </c>
      <c r="H110" s="204">
        <f>IFERROR(_xlfn.XLOOKUP($E110,'Product Cost - Price'!$B$5:$B$301,'Product Cost - Price'!$L$5:$L$301),"")</f>
        <v>1.1088121187881212</v>
      </c>
      <c r="I110" s="204">
        <f t="shared" si="28"/>
        <v>887.04969503049699</v>
      </c>
      <c r="J110" s="204">
        <f>IFERROR(_xlfn.XLOOKUP($E110,'Product Cost - Price'!$B$5:$B$301,'Product Cost - Price'!$M$5:$M$301),"")</f>
        <v>0</v>
      </c>
      <c r="K110" s="204">
        <f t="shared" si="29"/>
        <v>0</v>
      </c>
      <c r="L110" s="204">
        <f>IFERROR(_xlfn.XLOOKUP($E110,'Product Cost - Price'!$B$5:$B$301,'Product Cost - Price'!$N$5:$N$301),"")</f>
        <v>8.5000000000000006E-2</v>
      </c>
      <c r="M110" s="204">
        <f t="shared" si="30"/>
        <v>68</v>
      </c>
      <c r="N110" s="204">
        <f>IFERROR(_xlfn.XLOOKUP($E110,'Product Cost - Price'!$B$5:$B$301,'Product Cost - Price'!$O$5:$O$301),"")</f>
        <v>0</v>
      </c>
      <c r="O110" s="204">
        <f t="shared" si="31"/>
        <v>0</v>
      </c>
      <c r="P110" s="204">
        <f>IFERROR(_xlfn.XLOOKUP($E110,'Product Cost - Price'!$B$5:$B$301,'Product Cost - Price'!$P$5:$P$301),"")</f>
        <v>6.25E-2</v>
      </c>
      <c r="Q110" s="204">
        <f t="shared" si="32"/>
        <v>2.5</v>
      </c>
      <c r="R110" s="204">
        <f>IFERROR(_xlfn.XLOOKUP($E110,'Product Cost - Price'!$B$5:$B$301,'Product Cost - Price'!$Q$5:$Q$301),"")</f>
        <v>1.4583333333333333</v>
      </c>
      <c r="S110" s="204">
        <f t="shared" si="33"/>
        <v>58.333333333333329</v>
      </c>
      <c r="U110" s="204">
        <f t="shared" si="34"/>
        <v>222.91697163616965</v>
      </c>
      <c r="V110" s="276">
        <f t="shared" si="35"/>
        <v>0.17994589250578757</v>
      </c>
    </row>
    <row r="111" spans="1:22" x14ac:dyDescent="0.3">
      <c r="A111" s="278" t="s">
        <v>741</v>
      </c>
      <c r="B111" s="278">
        <v>171</v>
      </c>
      <c r="C111" s="279">
        <v>5442.93</v>
      </c>
      <c r="E111" s="202">
        <f t="shared" si="27"/>
        <v>566844</v>
      </c>
      <c r="F111" s="203" t="str">
        <f>IFERROR(_xlfn.XLOOKUP($E111,'Product Cost - Price'!$B$5:$B$301,'Product Cost - Price'!$E$5:$E$301),"")</f>
        <v>Standard</v>
      </c>
      <c r="G111" s="203">
        <f>IFERROR(_xlfn.XLOOKUP($E111,'Product Cost - Price'!$B$5:$B$301,'Product Cost - Price'!$G$5:$G$301),"")</f>
        <v>20</v>
      </c>
      <c r="H111" s="204">
        <f>IFERROR(_xlfn.XLOOKUP($E111,'Product Cost - Price'!$B$5:$B$301,'Product Cost - Price'!$L$5:$L$301),"")</f>
        <v>1.1434640000000003</v>
      </c>
      <c r="I111" s="204">
        <f t="shared" si="28"/>
        <v>3910.6468800000007</v>
      </c>
      <c r="J111" s="204">
        <f>IFERROR(_xlfn.XLOOKUP($E111,'Product Cost - Price'!$B$5:$B$301,'Product Cost - Price'!$M$5:$M$301),"")</f>
        <v>0</v>
      </c>
      <c r="K111" s="204">
        <f t="shared" si="29"/>
        <v>0</v>
      </c>
      <c r="L111" s="204">
        <f>IFERROR(_xlfn.XLOOKUP($E111,'Product Cost - Price'!$B$5:$B$301,'Product Cost - Price'!$N$5:$N$301),"")</f>
        <v>8.5000000000000006E-2</v>
      </c>
      <c r="M111" s="204">
        <f t="shared" si="30"/>
        <v>290.70000000000005</v>
      </c>
      <c r="N111" s="204">
        <f>IFERROR(_xlfn.XLOOKUP($E111,'Product Cost - Price'!$B$5:$B$301,'Product Cost - Price'!$O$5:$O$301),"")</f>
        <v>0</v>
      </c>
      <c r="O111" s="204">
        <f t="shared" si="31"/>
        <v>0</v>
      </c>
      <c r="P111" s="204">
        <f>IFERROR(_xlfn.XLOOKUP($E111,'Product Cost - Price'!$B$5:$B$301,'Product Cost - Price'!$P$5:$P$301),"")</f>
        <v>6.25E-2</v>
      </c>
      <c r="Q111" s="204">
        <f t="shared" si="32"/>
        <v>10.6875</v>
      </c>
      <c r="R111" s="204">
        <f>IFERROR(_xlfn.XLOOKUP($E111,'Product Cost - Price'!$B$5:$B$301,'Product Cost - Price'!$Q$5:$Q$301),"")</f>
        <v>1.4583333333333333</v>
      </c>
      <c r="S111" s="204">
        <f t="shared" si="33"/>
        <v>249.375</v>
      </c>
      <c r="U111" s="204">
        <f t="shared" si="34"/>
        <v>981.52061999999955</v>
      </c>
      <c r="V111" s="276">
        <f t="shared" si="35"/>
        <v>0.18032945858205038</v>
      </c>
    </row>
    <row r="112" spans="1:22" x14ac:dyDescent="0.3">
      <c r="A112" s="278" t="s">
        <v>742</v>
      </c>
      <c r="B112" s="278">
        <v>650</v>
      </c>
      <c r="C112" s="279">
        <v>10595</v>
      </c>
      <c r="E112" s="202">
        <f t="shared" si="27"/>
        <v>568239</v>
      </c>
      <c r="F112" s="203" t="str">
        <f>IFERROR(_xlfn.XLOOKUP($E112,'Product Cost - Price'!$B$5:$B$301,'Product Cost - Price'!$E$5:$E$301),"")</f>
        <v>Standard</v>
      </c>
      <c r="G112" s="203">
        <f>IFERROR(_xlfn.XLOOKUP($E112,'Product Cost - Price'!$B$5:$B$301,'Product Cost - Price'!$G$5:$G$301),"")</f>
        <v>20</v>
      </c>
      <c r="H112" s="204">
        <f>IFERROR(_xlfn.XLOOKUP($E112,'Product Cost - Price'!$B$5:$B$301,'Product Cost - Price'!$L$5:$L$301),"")</f>
        <v>0.48703924999999998</v>
      </c>
      <c r="I112" s="204">
        <f t="shared" si="28"/>
        <v>6331.5102499999994</v>
      </c>
      <c r="J112" s="204">
        <f>IFERROR(_xlfn.XLOOKUP($E112,'Product Cost - Price'!$B$5:$B$301,'Product Cost - Price'!$M$5:$M$301),"")</f>
        <v>5.5E-2</v>
      </c>
      <c r="K112" s="204">
        <f t="shared" si="29"/>
        <v>715.00000000000011</v>
      </c>
      <c r="L112" s="204">
        <f>IFERROR(_xlfn.XLOOKUP($E112,'Product Cost - Price'!$B$5:$B$301,'Product Cost - Price'!$N$5:$N$301),"")</f>
        <v>0.08</v>
      </c>
      <c r="M112" s="204">
        <f t="shared" si="30"/>
        <v>1040</v>
      </c>
      <c r="N112" s="204">
        <f>IFERROR(_xlfn.XLOOKUP($E112,'Product Cost - Price'!$B$5:$B$301,'Product Cost - Price'!$O$5:$O$301),"")</f>
        <v>0</v>
      </c>
      <c r="O112" s="204">
        <f t="shared" si="31"/>
        <v>0</v>
      </c>
      <c r="P112" s="204">
        <f>IFERROR(_xlfn.XLOOKUP($E112,'Product Cost - Price'!$B$5:$B$301,'Product Cost - Price'!$P$5:$P$301),"")</f>
        <v>0.6925</v>
      </c>
      <c r="Q112" s="204">
        <f t="shared" si="32"/>
        <v>450.125</v>
      </c>
      <c r="R112" s="204">
        <f>IFERROR(_xlfn.XLOOKUP($E112,'Product Cost - Price'!$B$5:$B$301,'Product Cost - Price'!$Q$5:$Q$301),"")</f>
        <v>1.4583333333333333</v>
      </c>
      <c r="S112" s="204">
        <f t="shared" si="33"/>
        <v>947.91666666666663</v>
      </c>
      <c r="U112" s="204">
        <f t="shared" si="34"/>
        <v>1110.4480833333341</v>
      </c>
      <c r="V112" s="276">
        <f t="shared" si="35"/>
        <v>0.10480869120654404</v>
      </c>
    </row>
    <row r="113" spans="1:22" x14ac:dyDescent="0.3">
      <c r="A113" s="278" t="s">
        <v>743</v>
      </c>
      <c r="B113" s="278">
        <v>90</v>
      </c>
      <c r="C113" s="279">
        <v>1638</v>
      </c>
      <c r="E113" s="202">
        <f t="shared" si="27"/>
        <v>568240</v>
      </c>
      <c r="F113" s="203" t="str">
        <f>IFERROR(_xlfn.XLOOKUP($E113,'Product Cost - Price'!$B$5:$B$301,'Product Cost - Price'!$E$5:$E$301),"")</f>
        <v>Standard</v>
      </c>
      <c r="G113" s="203">
        <f>IFERROR(_xlfn.XLOOKUP($E113,'Product Cost - Price'!$B$5:$B$301,'Product Cost - Price'!$G$5:$G$301),"")</f>
        <v>20</v>
      </c>
      <c r="H113" s="204">
        <f>IFERROR(_xlfn.XLOOKUP($E113,'Product Cost - Price'!$B$5:$B$301,'Product Cost - Price'!$L$5:$L$301),"")</f>
        <v>0.60299999999999998</v>
      </c>
      <c r="I113" s="204">
        <f t="shared" si="28"/>
        <v>1085.3999999999999</v>
      </c>
      <c r="J113" s="204">
        <f>IFERROR(_xlfn.XLOOKUP($E113,'Product Cost - Price'!$B$5:$B$301,'Product Cost - Price'!$M$5:$M$301),"")</f>
        <v>5.5E-2</v>
      </c>
      <c r="K113" s="204">
        <f t="shared" si="29"/>
        <v>99.000000000000014</v>
      </c>
      <c r="L113" s="204">
        <f>IFERROR(_xlfn.XLOOKUP($E113,'Product Cost - Price'!$B$5:$B$301,'Product Cost - Price'!$N$5:$N$301),"")</f>
        <v>0.04</v>
      </c>
      <c r="M113" s="204">
        <f t="shared" si="30"/>
        <v>72</v>
      </c>
      <c r="N113" s="204">
        <f>IFERROR(_xlfn.XLOOKUP($E113,'Product Cost - Price'!$B$5:$B$301,'Product Cost - Price'!$O$5:$O$301),"")</f>
        <v>0</v>
      </c>
      <c r="O113" s="204">
        <f t="shared" si="31"/>
        <v>0</v>
      </c>
      <c r="P113" s="204">
        <f>IFERROR(_xlfn.XLOOKUP($E113,'Product Cost - Price'!$B$5:$B$301,'Product Cost - Price'!$P$5:$P$301),"")</f>
        <v>0.6925</v>
      </c>
      <c r="Q113" s="204">
        <f t="shared" si="32"/>
        <v>62.325000000000003</v>
      </c>
      <c r="R113" s="204">
        <f>IFERROR(_xlfn.XLOOKUP($E113,'Product Cost - Price'!$B$5:$B$301,'Product Cost - Price'!$Q$5:$Q$301),"")</f>
        <v>1.4583333333333333</v>
      </c>
      <c r="S113" s="204">
        <f t="shared" si="33"/>
        <v>131.25</v>
      </c>
      <c r="U113" s="204">
        <f t="shared" si="34"/>
        <v>188.02500000000015</v>
      </c>
      <c r="V113" s="276">
        <f t="shared" si="35"/>
        <v>0.11478937728937738</v>
      </c>
    </row>
    <row r="114" spans="1:22" x14ac:dyDescent="0.3">
      <c r="A114" s="278" t="s">
        <v>744</v>
      </c>
      <c r="B114" s="280">
        <v>10560</v>
      </c>
      <c r="C114" s="279">
        <v>21648</v>
      </c>
      <c r="E114" s="202">
        <f t="shared" si="27"/>
        <v>575716</v>
      </c>
      <c r="F114" s="203" t="str">
        <f>IFERROR(_xlfn.XLOOKUP($E114,'Product Cost - Price'!$B$5:$B$301,'Product Cost - Price'!$E$5:$E$301),"")</f>
        <v>Standard</v>
      </c>
      <c r="G114" s="203">
        <f>IFERROR(_xlfn.XLOOKUP($E114,'Product Cost - Price'!$B$5:$B$301,'Product Cost - Price'!$G$5:$G$301),"")</f>
        <v>25</v>
      </c>
      <c r="H114" s="204">
        <f>IFERROR(_xlfn.XLOOKUP($E114,'Product Cost - Price'!$B$5:$B$301,'Product Cost - Price'!$L$5:$L$301),"")</f>
        <v>0</v>
      </c>
      <c r="I114" s="204">
        <f t="shared" si="28"/>
        <v>0</v>
      </c>
      <c r="J114" s="204">
        <f>IFERROR(_xlfn.XLOOKUP($E114,'Product Cost - Price'!$B$5:$B$301,'Product Cost - Price'!$M$5:$M$301),"")</f>
        <v>0</v>
      </c>
      <c r="K114" s="204">
        <f t="shared" si="29"/>
        <v>0</v>
      </c>
      <c r="L114" s="204">
        <f>IFERROR(_xlfn.XLOOKUP($E114,'Product Cost - Price'!$B$5:$B$301,'Product Cost - Price'!$N$5:$N$301),"")</f>
        <v>0</v>
      </c>
      <c r="M114" s="204">
        <f t="shared" si="30"/>
        <v>0</v>
      </c>
      <c r="N114" s="204">
        <f>IFERROR(_xlfn.XLOOKUP($E114,'Product Cost - Price'!$B$5:$B$301,'Product Cost - Price'!$O$5:$O$301),"")</f>
        <v>0</v>
      </c>
      <c r="O114" s="204">
        <f t="shared" si="31"/>
        <v>0</v>
      </c>
      <c r="P114" s="204">
        <f>IFERROR(_xlfn.XLOOKUP($E114,'Product Cost - Price'!$B$5:$B$301,'Product Cost - Price'!$P$5:$P$301),"")</f>
        <v>6.25E-2</v>
      </c>
      <c r="Q114" s="204">
        <f t="shared" si="32"/>
        <v>660</v>
      </c>
      <c r="R114" s="204">
        <f>IFERROR(_xlfn.XLOOKUP($E114,'Product Cost - Price'!$B$5:$B$301,'Product Cost - Price'!$Q$5:$Q$301),"")</f>
        <v>0</v>
      </c>
      <c r="S114" s="204">
        <f t="shared" si="33"/>
        <v>0</v>
      </c>
      <c r="U114" s="204">
        <f t="shared" si="34"/>
        <v>20988</v>
      </c>
      <c r="V114" s="276">
        <f t="shared" si="35"/>
        <v>0.96951219512195119</v>
      </c>
    </row>
    <row r="115" spans="1:22" x14ac:dyDescent="0.3">
      <c r="A115" s="278" t="s">
        <v>745</v>
      </c>
      <c r="B115" s="278">
        <v>89</v>
      </c>
      <c r="C115" s="279">
        <v>2269.5</v>
      </c>
      <c r="E115" s="202">
        <f t="shared" si="27"/>
        <v>576968</v>
      </c>
      <c r="F115" s="203" t="str">
        <f>IFERROR(_xlfn.XLOOKUP($E115,'Product Cost - Price'!$B$5:$B$301,'Product Cost - Price'!$E$5:$E$301),"")</f>
        <v>Standard</v>
      </c>
      <c r="G115" s="203">
        <f>IFERROR(_xlfn.XLOOKUP($E115,'Product Cost - Price'!$B$5:$B$301,'Product Cost - Price'!$G$5:$G$301),"")</f>
        <v>20</v>
      </c>
      <c r="H115" s="204">
        <f>IFERROR(_xlfn.XLOOKUP($E115,'Product Cost - Price'!$B$5:$B$301,'Product Cost - Price'!$L$5:$L$301),"")</f>
        <v>0.89027512690355326</v>
      </c>
      <c r="I115" s="204">
        <f t="shared" si="28"/>
        <v>1584.6897258883246</v>
      </c>
      <c r="J115" s="204">
        <f>IFERROR(_xlfn.XLOOKUP($E115,'Product Cost - Price'!$B$5:$B$301,'Product Cost - Price'!$M$5:$M$301),"")</f>
        <v>0</v>
      </c>
      <c r="K115" s="204">
        <f t="shared" si="29"/>
        <v>0</v>
      </c>
      <c r="L115" s="204">
        <f>IFERROR(_xlfn.XLOOKUP($E115,'Product Cost - Price'!$B$5:$B$301,'Product Cost - Price'!$N$5:$N$301),"")</f>
        <v>8.5000000000000006E-2</v>
      </c>
      <c r="M115" s="204">
        <f t="shared" si="30"/>
        <v>151.30000000000001</v>
      </c>
      <c r="N115" s="204">
        <f>IFERROR(_xlfn.XLOOKUP($E115,'Product Cost - Price'!$B$5:$B$301,'Product Cost - Price'!$O$5:$O$301),"")</f>
        <v>0</v>
      </c>
      <c r="O115" s="204">
        <f t="shared" si="31"/>
        <v>0</v>
      </c>
      <c r="P115" s="204">
        <f>IFERROR(_xlfn.XLOOKUP($E115,'Product Cost - Price'!$B$5:$B$301,'Product Cost - Price'!$P$5:$P$301),"")</f>
        <v>6.25E-2</v>
      </c>
      <c r="Q115" s="204">
        <f t="shared" si="32"/>
        <v>5.5625</v>
      </c>
      <c r="R115" s="204">
        <f>IFERROR(_xlfn.XLOOKUP($E115,'Product Cost - Price'!$B$5:$B$301,'Product Cost - Price'!$Q$5:$Q$301),"")</f>
        <v>1.4583333333333333</v>
      </c>
      <c r="S115" s="204">
        <f t="shared" si="33"/>
        <v>129.79166666666666</v>
      </c>
      <c r="U115" s="204">
        <f t="shared" si="34"/>
        <v>398.15610744500884</v>
      </c>
      <c r="V115" s="276">
        <f t="shared" si="35"/>
        <v>0.17543780896453354</v>
      </c>
    </row>
    <row r="116" spans="1:22" x14ac:dyDescent="0.3">
      <c r="A116" s="278" t="s">
        <v>746</v>
      </c>
      <c r="B116" s="278">
        <v>140</v>
      </c>
      <c r="C116" s="279">
        <v>2739.8</v>
      </c>
      <c r="E116" s="202">
        <f t="shared" si="27"/>
        <v>578050</v>
      </c>
      <c r="F116" s="203" t="str">
        <f>IFERROR(_xlfn.XLOOKUP($E116,'Product Cost - Price'!$B$5:$B$301,'Product Cost - Price'!$E$5:$E$301),"")</f>
        <v>Standard</v>
      </c>
      <c r="G116" s="203">
        <f>IFERROR(_xlfn.XLOOKUP($E116,'Product Cost - Price'!$B$5:$B$301,'Product Cost - Price'!$G$5:$G$301),"")</f>
        <v>15</v>
      </c>
      <c r="H116" s="204">
        <f>IFERROR(_xlfn.XLOOKUP($E116,'Product Cost - Price'!$B$5:$B$301,'Product Cost - Price'!$L$5:$L$301),"")</f>
        <v>0.91243181000000007</v>
      </c>
      <c r="I116" s="204">
        <f t="shared" si="28"/>
        <v>1916.1068010000004</v>
      </c>
      <c r="J116" s="204">
        <f>IFERROR(_xlfn.XLOOKUP($E116,'Product Cost - Price'!$B$5:$B$301,'Product Cost - Price'!$M$5:$M$301),"")</f>
        <v>0</v>
      </c>
      <c r="K116" s="204">
        <f t="shared" si="29"/>
        <v>0</v>
      </c>
      <c r="L116" s="204">
        <f>IFERROR(_xlfn.XLOOKUP($E116,'Product Cost - Price'!$B$5:$B$301,'Product Cost - Price'!$N$5:$N$301),"")</f>
        <v>8.5000000000000006E-2</v>
      </c>
      <c r="M116" s="204">
        <f t="shared" si="30"/>
        <v>178.50000000000003</v>
      </c>
      <c r="N116" s="204">
        <f>IFERROR(_xlfn.XLOOKUP($E116,'Product Cost - Price'!$B$5:$B$301,'Product Cost - Price'!$O$5:$O$301),"")</f>
        <v>0</v>
      </c>
      <c r="O116" s="204">
        <f t="shared" si="31"/>
        <v>0</v>
      </c>
      <c r="P116" s="204">
        <f>IFERROR(_xlfn.XLOOKUP($E116,'Product Cost - Price'!$B$5:$B$301,'Product Cost - Price'!$P$5:$P$301),"")</f>
        <v>6.25E-2</v>
      </c>
      <c r="Q116" s="204">
        <f t="shared" si="32"/>
        <v>8.75</v>
      </c>
      <c r="R116" s="204">
        <f>IFERROR(_xlfn.XLOOKUP($E116,'Product Cost - Price'!$B$5:$B$301,'Product Cost - Price'!$Q$5:$Q$301),"")</f>
        <v>1.0606060606060606</v>
      </c>
      <c r="S116" s="204">
        <f t="shared" si="33"/>
        <v>148.48484848484847</v>
      </c>
      <c r="U116" s="204">
        <f t="shared" si="34"/>
        <v>487.95835051515132</v>
      </c>
      <c r="V116" s="276">
        <f t="shared" si="35"/>
        <v>0.17809998923832079</v>
      </c>
    </row>
    <row r="117" spans="1:22" x14ac:dyDescent="0.3">
      <c r="A117" s="278" t="s">
        <v>747</v>
      </c>
      <c r="B117" s="280">
        <v>2139</v>
      </c>
      <c r="C117" s="279">
        <v>2780.7</v>
      </c>
      <c r="E117" s="202">
        <f t="shared" si="27"/>
        <v>578051</v>
      </c>
      <c r="F117" s="203" t="str">
        <f>IFERROR(_xlfn.XLOOKUP($E117,'Product Cost - Price'!$B$5:$B$301,'Product Cost - Price'!$E$5:$E$301),"")</f>
        <v>Bulka</v>
      </c>
      <c r="G117" s="203">
        <f>IFERROR(_xlfn.XLOOKUP($E117,'Product Cost - Price'!$B$5:$B$301,'Product Cost - Price'!$G$5:$G$301),"")</f>
        <v>1000</v>
      </c>
      <c r="H117" s="204">
        <f>IFERROR(_xlfn.XLOOKUP($E117,'Product Cost - Price'!$B$5:$B$301,'Product Cost - Price'!$L$5:$L$301),"")</f>
        <v>0.91243181000000007</v>
      </c>
      <c r="I117" s="204">
        <f t="shared" si="28"/>
        <v>1951.6916415900002</v>
      </c>
      <c r="J117" s="204">
        <f>IFERROR(_xlfn.XLOOKUP($E117,'Product Cost - Price'!$B$5:$B$301,'Product Cost - Price'!$M$5:$M$301),"")</f>
        <v>0</v>
      </c>
      <c r="K117" s="204">
        <f t="shared" si="29"/>
        <v>0</v>
      </c>
      <c r="L117" s="204">
        <f>IFERROR(_xlfn.XLOOKUP($E117,'Product Cost - Price'!$B$5:$B$301,'Product Cost - Price'!$N$5:$N$301),"")</f>
        <v>8.5000000000000006E-2</v>
      </c>
      <c r="M117" s="204">
        <f t="shared" si="30"/>
        <v>181.81500000000003</v>
      </c>
      <c r="N117" s="204">
        <f>IFERROR(_xlfn.XLOOKUP($E117,'Product Cost - Price'!$B$5:$B$301,'Product Cost - Price'!$O$5:$O$301),"")</f>
        <v>0</v>
      </c>
      <c r="O117" s="204">
        <f t="shared" si="31"/>
        <v>0</v>
      </c>
      <c r="P117" s="204">
        <f>IFERROR(_xlfn.XLOOKUP($E117,'Product Cost - Price'!$B$5:$B$301,'Product Cost - Price'!$P$5:$P$301),"")</f>
        <v>1.72E-2</v>
      </c>
      <c r="Q117" s="204">
        <f t="shared" si="32"/>
        <v>36.790799999999997</v>
      </c>
      <c r="R117" s="204">
        <f>IFERROR(_xlfn.XLOOKUP($E117,'Product Cost - Price'!$B$5:$B$301,'Product Cost - Price'!$Q$5:$Q$301),"")</f>
        <v>7.0000000000000007E-2</v>
      </c>
      <c r="S117" s="204">
        <f t="shared" si="33"/>
        <v>149.73000000000002</v>
      </c>
      <c r="U117" s="204">
        <f t="shared" si="34"/>
        <v>460.67255840999951</v>
      </c>
      <c r="V117" s="276">
        <f t="shared" si="35"/>
        <v>0.16566783846153829</v>
      </c>
    </row>
    <row r="118" spans="1:22" x14ac:dyDescent="0.3">
      <c r="A118" s="278" t="s">
        <v>748</v>
      </c>
      <c r="B118" s="278">
        <v>1</v>
      </c>
      <c r="C118" s="279">
        <v>770</v>
      </c>
      <c r="E118" s="202" t="str">
        <f t="shared" si="27"/>
        <v/>
      </c>
      <c r="F118" s="203" t="str">
        <f>IFERROR(_xlfn.XLOOKUP($E118,'Product Cost - Price'!$B$5:$B$301,'Product Cost - Price'!$E$5:$E$301),"")</f>
        <v/>
      </c>
      <c r="G118" s="203" t="str">
        <f>IFERROR(_xlfn.XLOOKUP($E118,'Product Cost - Price'!$B$5:$B$301,'Product Cost - Price'!$G$5:$G$301),"")</f>
        <v/>
      </c>
      <c r="H118" s="204" t="str">
        <f>IFERROR(_xlfn.XLOOKUP($E118,'Product Cost - Price'!$B$5:$B$301,'Product Cost - Price'!$L$5:$L$301),"")</f>
        <v/>
      </c>
      <c r="I118" s="204" t="str">
        <f t="shared" si="28"/>
        <v>No Std</v>
      </c>
      <c r="J118" s="204" t="str">
        <f>IFERROR(_xlfn.XLOOKUP($E118,'Product Cost - Price'!$B$5:$B$301,'Product Cost - Price'!$M$5:$M$301),"")</f>
        <v/>
      </c>
      <c r="K118" s="204" t="str">
        <f t="shared" si="29"/>
        <v>No Std</v>
      </c>
      <c r="L118" s="204" t="str">
        <f>IFERROR(_xlfn.XLOOKUP($E118,'Product Cost - Price'!$B$5:$B$301,'Product Cost - Price'!$N$5:$N$301),"")</f>
        <v/>
      </c>
      <c r="M118" s="204" t="str">
        <f t="shared" si="30"/>
        <v>No Std</v>
      </c>
      <c r="N118" s="204" t="str">
        <f>IFERROR(_xlfn.XLOOKUP($E118,'Product Cost - Price'!$B$5:$B$301,'Product Cost - Price'!$O$5:$O$301),"")</f>
        <v/>
      </c>
      <c r="O118" s="204" t="str">
        <f t="shared" si="31"/>
        <v>No Std</v>
      </c>
      <c r="P118" s="204" t="str">
        <f>IFERROR(_xlfn.XLOOKUP($E118,'Product Cost - Price'!$B$5:$B$301,'Product Cost - Price'!$P$5:$P$301),"")</f>
        <v/>
      </c>
      <c r="Q118" s="204" t="str">
        <f t="shared" si="32"/>
        <v/>
      </c>
      <c r="R118" s="204" t="str">
        <f>IFERROR(_xlfn.XLOOKUP($E118,'Product Cost - Price'!$B$5:$B$301,'Product Cost - Price'!$Q$5:$Q$301),"")</f>
        <v/>
      </c>
      <c r="S118" s="204" t="str">
        <f t="shared" si="33"/>
        <v/>
      </c>
      <c r="U118" s="204" t="str">
        <f t="shared" si="34"/>
        <v/>
      </c>
      <c r="V118" s="276" t="str">
        <f t="shared" si="35"/>
        <v/>
      </c>
    </row>
    <row r="119" spans="1:22" x14ac:dyDescent="0.3">
      <c r="A119" s="278" t="s">
        <v>749</v>
      </c>
      <c r="B119" s="278">
        <v>8</v>
      </c>
      <c r="C119" s="279">
        <v>3200</v>
      </c>
      <c r="E119" s="202" t="str">
        <f t="shared" si="27"/>
        <v/>
      </c>
      <c r="F119" s="203" t="str">
        <f>IFERROR(_xlfn.XLOOKUP($E119,'Product Cost - Price'!$B$5:$B$301,'Product Cost - Price'!$E$5:$E$301),"")</f>
        <v/>
      </c>
      <c r="G119" s="203" t="str">
        <f>IFERROR(_xlfn.XLOOKUP($E119,'Product Cost - Price'!$B$5:$B$301,'Product Cost - Price'!$G$5:$G$301),"")</f>
        <v/>
      </c>
      <c r="H119" s="204" t="str">
        <f>IFERROR(_xlfn.XLOOKUP($E119,'Product Cost - Price'!$B$5:$B$301,'Product Cost - Price'!$L$5:$L$301),"")</f>
        <v/>
      </c>
      <c r="I119" s="204" t="str">
        <f t="shared" si="28"/>
        <v>No Std</v>
      </c>
      <c r="J119" s="204" t="str">
        <f>IFERROR(_xlfn.XLOOKUP($E119,'Product Cost - Price'!$B$5:$B$301,'Product Cost - Price'!$M$5:$M$301),"")</f>
        <v/>
      </c>
      <c r="K119" s="204" t="str">
        <f t="shared" si="29"/>
        <v>No Std</v>
      </c>
      <c r="L119" s="204" t="str">
        <f>IFERROR(_xlfn.XLOOKUP($E119,'Product Cost - Price'!$B$5:$B$301,'Product Cost - Price'!$N$5:$N$301),"")</f>
        <v/>
      </c>
      <c r="M119" s="204" t="str">
        <f t="shared" si="30"/>
        <v>No Std</v>
      </c>
      <c r="N119" s="204" t="str">
        <f>IFERROR(_xlfn.XLOOKUP($E119,'Product Cost - Price'!$B$5:$B$301,'Product Cost - Price'!$O$5:$O$301),"")</f>
        <v/>
      </c>
      <c r="O119" s="204" t="str">
        <f t="shared" si="31"/>
        <v>No Std</v>
      </c>
      <c r="P119" s="204" t="str">
        <f>IFERROR(_xlfn.XLOOKUP($E119,'Product Cost - Price'!$B$5:$B$301,'Product Cost - Price'!$P$5:$P$301),"")</f>
        <v/>
      </c>
      <c r="Q119" s="204" t="str">
        <f t="shared" si="32"/>
        <v/>
      </c>
      <c r="R119" s="204" t="str">
        <f>IFERROR(_xlfn.XLOOKUP($E119,'Product Cost - Price'!$B$5:$B$301,'Product Cost - Price'!$Q$5:$Q$301),"")</f>
        <v/>
      </c>
      <c r="S119" s="204" t="str">
        <f t="shared" si="33"/>
        <v/>
      </c>
      <c r="U119" s="204" t="str">
        <f t="shared" si="34"/>
        <v/>
      </c>
      <c r="V119" s="276" t="str">
        <f t="shared" si="35"/>
        <v/>
      </c>
    </row>
    <row r="120" spans="1:22" x14ac:dyDescent="0.3">
      <c r="A120" s="278" t="s">
        <v>750</v>
      </c>
      <c r="B120" s="278">
        <v>36</v>
      </c>
      <c r="C120" s="279">
        <v>2700</v>
      </c>
      <c r="E120" s="202" t="str">
        <f t="shared" si="27"/>
        <v/>
      </c>
      <c r="F120" s="203" t="str">
        <f>IFERROR(_xlfn.XLOOKUP($E120,'Product Cost - Price'!$B$5:$B$301,'Product Cost - Price'!$E$5:$E$301),"")</f>
        <v/>
      </c>
      <c r="G120" s="203" t="str">
        <f>IFERROR(_xlfn.XLOOKUP($E120,'Product Cost - Price'!$B$5:$B$301,'Product Cost - Price'!$G$5:$G$301),"")</f>
        <v/>
      </c>
      <c r="H120" s="204" t="str">
        <f>IFERROR(_xlfn.XLOOKUP($E120,'Product Cost - Price'!$B$5:$B$301,'Product Cost - Price'!$L$5:$L$301),"")</f>
        <v/>
      </c>
      <c r="I120" s="204" t="str">
        <f t="shared" si="28"/>
        <v>No Std</v>
      </c>
      <c r="J120" s="204" t="str">
        <f>IFERROR(_xlfn.XLOOKUP($E120,'Product Cost - Price'!$B$5:$B$301,'Product Cost - Price'!$M$5:$M$301),"")</f>
        <v/>
      </c>
      <c r="K120" s="204" t="str">
        <f t="shared" si="29"/>
        <v>No Std</v>
      </c>
      <c r="L120" s="204" t="str">
        <f>IFERROR(_xlfn.XLOOKUP($E120,'Product Cost - Price'!$B$5:$B$301,'Product Cost - Price'!$N$5:$N$301),"")</f>
        <v/>
      </c>
      <c r="M120" s="204" t="str">
        <f t="shared" si="30"/>
        <v>No Std</v>
      </c>
      <c r="N120" s="204" t="str">
        <f>IFERROR(_xlfn.XLOOKUP($E120,'Product Cost - Price'!$B$5:$B$301,'Product Cost - Price'!$O$5:$O$301),"")</f>
        <v/>
      </c>
      <c r="O120" s="204" t="str">
        <f t="shared" si="31"/>
        <v>No Std</v>
      </c>
      <c r="P120" s="204" t="str">
        <f>IFERROR(_xlfn.XLOOKUP($E120,'Product Cost - Price'!$B$5:$B$301,'Product Cost - Price'!$P$5:$P$301),"")</f>
        <v/>
      </c>
      <c r="Q120" s="204" t="str">
        <f t="shared" si="32"/>
        <v/>
      </c>
      <c r="R120" s="204" t="str">
        <f>IFERROR(_xlfn.XLOOKUP($E120,'Product Cost - Price'!$B$5:$B$301,'Product Cost - Price'!$Q$5:$Q$301),"")</f>
        <v/>
      </c>
      <c r="S120" s="204" t="str">
        <f t="shared" si="33"/>
        <v/>
      </c>
      <c r="U120" s="204" t="str">
        <f t="shared" si="34"/>
        <v/>
      </c>
      <c r="V120" s="276" t="str">
        <f t="shared" si="35"/>
        <v/>
      </c>
    </row>
    <row r="121" spans="1:22" x14ac:dyDescent="0.3">
      <c r="A121" s="278" t="s">
        <v>751</v>
      </c>
      <c r="B121" s="278">
        <v>2</v>
      </c>
      <c r="C121" s="279">
        <v>400</v>
      </c>
      <c r="E121" s="202" t="str">
        <f t="shared" si="27"/>
        <v/>
      </c>
      <c r="F121" s="203" t="str">
        <f>IFERROR(_xlfn.XLOOKUP($E121,'Product Cost - Price'!$B$5:$B$301,'Product Cost - Price'!$E$5:$E$301),"")</f>
        <v/>
      </c>
      <c r="G121" s="203" t="str">
        <f>IFERROR(_xlfn.XLOOKUP($E121,'Product Cost - Price'!$B$5:$B$301,'Product Cost - Price'!$G$5:$G$301),"")</f>
        <v/>
      </c>
      <c r="H121" s="204" t="str">
        <f>IFERROR(_xlfn.XLOOKUP($E121,'Product Cost - Price'!$B$5:$B$301,'Product Cost - Price'!$L$5:$L$301),"")</f>
        <v/>
      </c>
      <c r="I121" s="204" t="str">
        <f t="shared" si="28"/>
        <v>No Std</v>
      </c>
      <c r="J121" s="204" t="str">
        <f>IFERROR(_xlfn.XLOOKUP($E121,'Product Cost - Price'!$B$5:$B$301,'Product Cost - Price'!$M$5:$M$301),"")</f>
        <v/>
      </c>
      <c r="K121" s="204" t="str">
        <f t="shared" si="29"/>
        <v>No Std</v>
      </c>
      <c r="L121" s="204" t="str">
        <f>IFERROR(_xlfn.XLOOKUP($E121,'Product Cost - Price'!$B$5:$B$301,'Product Cost - Price'!$N$5:$N$301),"")</f>
        <v/>
      </c>
      <c r="M121" s="204" t="str">
        <f t="shared" si="30"/>
        <v>No Std</v>
      </c>
      <c r="N121" s="204" t="str">
        <f>IFERROR(_xlfn.XLOOKUP($E121,'Product Cost - Price'!$B$5:$B$301,'Product Cost - Price'!$O$5:$O$301),"")</f>
        <v/>
      </c>
      <c r="O121" s="204" t="str">
        <f t="shared" si="31"/>
        <v>No Std</v>
      </c>
      <c r="P121" s="204" t="str">
        <f>IFERROR(_xlfn.XLOOKUP($E121,'Product Cost - Price'!$B$5:$B$301,'Product Cost - Price'!$P$5:$P$301),"")</f>
        <v/>
      </c>
      <c r="Q121" s="204" t="str">
        <f t="shared" si="32"/>
        <v/>
      </c>
      <c r="R121" s="204" t="str">
        <f>IFERROR(_xlfn.XLOOKUP($E121,'Product Cost - Price'!$B$5:$B$301,'Product Cost - Price'!$Q$5:$Q$301),"")</f>
        <v/>
      </c>
      <c r="S121" s="204" t="str">
        <f t="shared" si="33"/>
        <v/>
      </c>
      <c r="U121" s="204" t="str">
        <f t="shared" si="34"/>
        <v/>
      </c>
      <c r="V121" s="276" t="str">
        <f t="shared" si="35"/>
        <v/>
      </c>
    </row>
    <row r="122" spans="1:22" ht="46.8" x14ac:dyDescent="0.3">
      <c r="A122" s="293" t="s">
        <v>752</v>
      </c>
      <c r="B122" s="278">
        <v>1</v>
      </c>
      <c r="C122" s="279">
        <v>640</v>
      </c>
      <c r="E122" s="202" t="str">
        <f t="shared" si="27"/>
        <v/>
      </c>
      <c r="F122" s="203" t="str">
        <f>IFERROR(_xlfn.XLOOKUP($E122,'Product Cost - Price'!$B$5:$B$301,'Product Cost - Price'!$E$5:$E$301),"")</f>
        <v/>
      </c>
      <c r="G122" s="203" t="str">
        <f>IFERROR(_xlfn.XLOOKUP($E122,'Product Cost - Price'!$B$5:$B$301,'Product Cost - Price'!$G$5:$G$301),"")</f>
        <v/>
      </c>
      <c r="H122" s="204" t="str">
        <f>IFERROR(_xlfn.XLOOKUP($E122,'Product Cost - Price'!$B$5:$B$301,'Product Cost - Price'!$L$5:$L$301),"")</f>
        <v/>
      </c>
      <c r="I122" s="204" t="str">
        <f t="shared" si="28"/>
        <v>No Std</v>
      </c>
      <c r="J122" s="204" t="str">
        <f>IFERROR(_xlfn.XLOOKUP($E122,'Product Cost - Price'!$B$5:$B$301,'Product Cost - Price'!$M$5:$M$301),"")</f>
        <v/>
      </c>
      <c r="K122" s="204" t="str">
        <f t="shared" si="29"/>
        <v>No Std</v>
      </c>
      <c r="L122" s="204" t="str">
        <f>IFERROR(_xlfn.XLOOKUP($E122,'Product Cost - Price'!$B$5:$B$301,'Product Cost - Price'!$N$5:$N$301),"")</f>
        <v/>
      </c>
      <c r="M122" s="204" t="str">
        <f t="shared" si="30"/>
        <v>No Std</v>
      </c>
      <c r="N122" s="204" t="str">
        <f>IFERROR(_xlfn.XLOOKUP($E122,'Product Cost - Price'!$B$5:$B$301,'Product Cost - Price'!$O$5:$O$301),"")</f>
        <v/>
      </c>
      <c r="O122" s="204" t="str">
        <f t="shared" si="31"/>
        <v>No Std</v>
      </c>
      <c r="P122" s="204" t="str">
        <f>IFERROR(_xlfn.XLOOKUP($E122,'Product Cost - Price'!$B$5:$B$301,'Product Cost - Price'!$P$5:$P$301),"")</f>
        <v/>
      </c>
      <c r="Q122" s="204" t="str">
        <f t="shared" si="32"/>
        <v/>
      </c>
      <c r="R122" s="204" t="str">
        <f>IFERROR(_xlfn.XLOOKUP($E122,'Product Cost - Price'!$B$5:$B$301,'Product Cost - Price'!$Q$5:$Q$301),"")</f>
        <v/>
      </c>
      <c r="S122" s="204" t="str">
        <f t="shared" si="33"/>
        <v/>
      </c>
      <c r="U122" s="204" t="str">
        <f t="shared" si="34"/>
        <v/>
      </c>
      <c r="V122" s="276" t="str">
        <f t="shared" si="35"/>
        <v/>
      </c>
    </row>
    <row r="123" spans="1:22" x14ac:dyDescent="0.3">
      <c r="A123" s="278" t="s">
        <v>753</v>
      </c>
      <c r="B123" s="278">
        <v>11</v>
      </c>
      <c r="C123" s="279">
        <v>7040</v>
      </c>
      <c r="E123" s="202" t="str">
        <f t="shared" si="27"/>
        <v/>
      </c>
      <c r="F123" s="203" t="str">
        <f>IFERROR(_xlfn.XLOOKUP($E123,'Product Cost - Price'!$B$5:$B$301,'Product Cost - Price'!$E$5:$E$301),"")</f>
        <v/>
      </c>
      <c r="G123" s="203" t="str">
        <f>IFERROR(_xlfn.XLOOKUP($E123,'Product Cost - Price'!$B$5:$B$301,'Product Cost - Price'!$G$5:$G$301),"")</f>
        <v/>
      </c>
      <c r="H123" s="204" t="str">
        <f>IFERROR(_xlfn.XLOOKUP($E123,'Product Cost - Price'!$B$5:$B$301,'Product Cost - Price'!$L$5:$L$301),"")</f>
        <v/>
      </c>
      <c r="I123" s="204" t="str">
        <f t="shared" si="28"/>
        <v>No Std</v>
      </c>
      <c r="J123" s="204" t="str">
        <f>IFERROR(_xlfn.XLOOKUP($E123,'Product Cost - Price'!$B$5:$B$301,'Product Cost - Price'!$M$5:$M$301),"")</f>
        <v/>
      </c>
      <c r="K123" s="204" t="str">
        <f t="shared" si="29"/>
        <v>No Std</v>
      </c>
      <c r="L123" s="204" t="str">
        <f>IFERROR(_xlfn.XLOOKUP($E123,'Product Cost - Price'!$B$5:$B$301,'Product Cost - Price'!$N$5:$N$301),"")</f>
        <v/>
      </c>
      <c r="M123" s="204" t="str">
        <f t="shared" si="30"/>
        <v>No Std</v>
      </c>
      <c r="N123" s="204" t="str">
        <f>IFERROR(_xlfn.XLOOKUP($E123,'Product Cost - Price'!$B$5:$B$301,'Product Cost - Price'!$O$5:$O$301),"")</f>
        <v/>
      </c>
      <c r="O123" s="204" t="str">
        <f t="shared" si="31"/>
        <v>No Std</v>
      </c>
      <c r="P123" s="204" t="str">
        <f>IFERROR(_xlfn.XLOOKUP($E123,'Product Cost - Price'!$B$5:$B$301,'Product Cost - Price'!$P$5:$P$301),"")</f>
        <v/>
      </c>
      <c r="Q123" s="204" t="str">
        <f t="shared" si="32"/>
        <v/>
      </c>
      <c r="R123" s="204" t="str">
        <f>IFERROR(_xlfn.XLOOKUP($E123,'Product Cost - Price'!$B$5:$B$301,'Product Cost - Price'!$Q$5:$Q$301),"")</f>
        <v/>
      </c>
      <c r="S123" s="204" t="str">
        <f t="shared" si="33"/>
        <v/>
      </c>
      <c r="U123" s="204" t="str">
        <f t="shared" si="34"/>
        <v/>
      </c>
      <c r="V123" s="276" t="str">
        <f t="shared" si="35"/>
        <v/>
      </c>
    </row>
    <row r="124" spans="1:22" x14ac:dyDescent="0.3">
      <c r="A124" s="278" t="s">
        <v>754</v>
      </c>
      <c r="B124" s="278">
        <v>11</v>
      </c>
      <c r="C124" s="279">
        <v>3740</v>
      </c>
      <c r="E124" s="202" t="str">
        <f t="shared" si="27"/>
        <v/>
      </c>
      <c r="F124" s="203" t="str">
        <f>IFERROR(_xlfn.XLOOKUP($E124,'Product Cost - Price'!$B$5:$B$301,'Product Cost - Price'!$E$5:$E$301),"")</f>
        <v/>
      </c>
      <c r="G124" s="203" t="str">
        <f>IFERROR(_xlfn.XLOOKUP($E124,'Product Cost - Price'!$B$5:$B$301,'Product Cost - Price'!$G$5:$G$301),"")</f>
        <v/>
      </c>
      <c r="H124" s="204" t="str">
        <f>IFERROR(_xlfn.XLOOKUP($E124,'Product Cost - Price'!$B$5:$B$301,'Product Cost - Price'!$L$5:$L$301),"")</f>
        <v/>
      </c>
      <c r="I124" s="204" t="str">
        <f t="shared" si="28"/>
        <v>No Std</v>
      </c>
      <c r="J124" s="204" t="str">
        <f>IFERROR(_xlfn.XLOOKUP($E124,'Product Cost - Price'!$B$5:$B$301,'Product Cost - Price'!$M$5:$M$301),"")</f>
        <v/>
      </c>
      <c r="K124" s="204" t="str">
        <f t="shared" si="29"/>
        <v>No Std</v>
      </c>
      <c r="L124" s="204" t="str">
        <f>IFERROR(_xlfn.XLOOKUP($E124,'Product Cost - Price'!$B$5:$B$301,'Product Cost - Price'!$N$5:$N$301),"")</f>
        <v/>
      </c>
      <c r="M124" s="204" t="str">
        <f t="shared" si="30"/>
        <v>No Std</v>
      </c>
      <c r="N124" s="204" t="str">
        <f>IFERROR(_xlfn.XLOOKUP($E124,'Product Cost - Price'!$B$5:$B$301,'Product Cost - Price'!$O$5:$O$301),"")</f>
        <v/>
      </c>
      <c r="O124" s="204" t="str">
        <f t="shared" si="31"/>
        <v>No Std</v>
      </c>
      <c r="P124" s="204" t="str">
        <f>IFERROR(_xlfn.XLOOKUP($E124,'Product Cost - Price'!$B$5:$B$301,'Product Cost - Price'!$P$5:$P$301),"")</f>
        <v/>
      </c>
      <c r="Q124" s="204" t="str">
        <f t="shared" si="32"/>
        <v/>
      </c>
      <c r="R124" s="204" t="str">
        <f>IFERROR(_xlfn.XLOOKUP($E124,'Product Cost - Price'!$B$5:$B$301,'Product Cost - Price'!$Q$5:$Q$301),"")</f>
        <v/>
      </c>
      <c r="S124" s="204" t="str">
        <f t="shared" si="33"/>
        <v/>
      </c>
      <c r="U124" s="204" t="str">
        <f t="shared" si="34"/>
        <v/>
      </c>
      <c r="V124" s="276" t="str">
        <f t="shared" si="35"/>
        <v/>
      </c>
    </row>
    <row r="125" spans="1:22" x14ac:dyDescent="0.3">
      <c r="A125" s="278" t="s">
        <v>755</v>
      </c>
      <c r="B125" s="278">
        <v>52.7</v>
      </c>
      <c r="C125" s="279">
        <v>1294</v>
      </c>
      <c r="E125" s="202" t="str">
        <f t="shared" si="27"/>
        <v/>
      </c>
      <c r="F125" s="203" t="str">
        <f>IFERROR(_xlfn.XLOOKUP($E125,'Product Cost - Price'!$B$5:$B$301,'Product Cost - Price'!$E$5:$E$301),"")</f>
        <v/>
      </c>
      <c r="G125" s="203" t="str">
        <f>IFERROR(_xlfn.XLOOKUP($E125,'Product Cost - Price'!$B$5:$B$301,'Product Cost - Price'!$G$5:$G$301),"")</f>
        <v/>
      </c>
      <c r="H125" s="204" t="str">
        <f>IFERROR(_xlfn.XLOOKUP($E125,'Product Cost - Price'!$B$5:$B$301,'Product Cost - Price'!$L$5:$L$301),"")</f>
        <v/>
      </c>
      <c r="I125" s="204" t="str">
        <f t="shared" si="28"/>
        <v>No Std</v>
      </c>
      <c r="J125" s="204" t="str">
        <f>IFERROR(_xlfn.XLOOKUP($E125,'Product Cost - Price'!$B$5:$B$301,'Product Cost - Price'!$M$5:$M$301),"")</f>
        <v/>
      </c>
      <c r="K125" s="204" t="str">
        <f t="shared" si="29"/>
        <v>No Std</v>
      </c>
      <c r="L125" s="204" t="str">
        <f>IFERROR(_xlfn.XLOOKUP($E125,'Product Cost - Price'!$B$5:$B$301,'Product Cost - Price'!$N$5:$N$301),"")</f>
        <v/>
      </c>
      <c r="M125" s="204" t="str">
        <f t="shared" si="30"/>
        <v>No Std</v>
      </c>
      <c r="N125" s="204" t="str">
        <f>IFERROR(_xlfn.XLOOKUP($E125,'Product Cost - Price'!$B$5:$B$301,'Product Cost - Price'!$O$5:$O$301),"")</f>
        <v/>
      </c>
      <c r="O125" s="204" t="str">
        <f t="shared" si="31"/>
        <v>No Std</v>
      </c>
      <c r="P125" s="204" t="str">
        <f>IFERROR(_xlfn.XLOOKUP($E125,'Product Cost - Price'!$B$5:$B$301,'Product Cost - Price'!$P$5:$P$301),"")</f>
        <v/>
      </c>
      <c r="Q125" s="204" t="str">
        <f t="shared" si="32"/>
        <v/>
      </c>
      <c r="R125" s="204" t="str">
        <f>IFERROR(_xlfn.XLOOKUP($E125,'Product Cost - Price'!$B$5:$B$301,'Product Cost - Price'!$Q$5:$Q$301),"")</f>
        <v/>
      </c>
      <c r="S125" s="204" t="str">
        <f t="shared" si="33"/>
        <v/>
      </c>
      <c r="U125" s="204" t="str">
        <f t="shared" si="34"/>
        <v/>
      </c>
      <c r="V125" s="276" t="str">
        <f t="shared" si="35"/>
        <v/>
      </c>
    </row>
    <row r="126" spans="1:22" x14ac:dyDescent="0.3">
      <c r="A126" s="278" t="s">
        <v>756</v>
      </c>
      <c r="B126" s="278">
        <v>30</v>
      </c>
      <c r="C126" s="279">
        <v>1850</v>
      </c>
      <c r="E126" s="202" t="str">
        <f t="shared" si="27"/>
        <v/>
      </c>
      <c r="F126" s="203" t="str">
        <f>IFERROR(_xlfn.XLOOKUP($E126,'Product Cost - Price'!$B$5:$B$301,'Product Cost - Price'!$E$5:$E$301),"")</f>
        <v/>
      </c>
      <c r="G126" s="203" t="str">
        <f>IFERROR(_xlfn.XLOOKUP($E126,'Product Cost - Price'!$B$5:$B$301,'Product Cost - Price'!$G$5:$G$301),"")</f>
        <v/>
      </c>
      <c r="H126" s="204" t="str">
        <f>IFERROR(_xlfn.XLOOKUP($E126,'Product Cost - Price'!$B$5:$B$301,'Product Cost - Price'!$L$5:$L$301),"")</f>
        <v/>
      </c>
      <c r="I126" s="204" t="str">
        <f t="shared" si="28"/>
        <v>No Std</v>
      </c>
      <c r="J126" s="204" t="str">
        <f>IFERROR(_xlfn.XLOOKUP($E126,'Product Cost - Price'!$B$5:$B$301,'Product Cost - Price'!$M$5:$M$301),"")</f>
        <v/>
      </c>
      <c r="K126" s="204" t="str">
        <f t="shared" si="29"/>
        <v>No Std</v>
      </c>
      <c r="L126" s="204" t="str">
        <f>IFERROR(_xlfn.XLOOKUP($E126,'Product Cost - Price'!$B$5:$B$301,'Product Cost - Price'!$N$5:$N$301),"")</f>
        <v/>
      </c>
      <c r="M126" s="204" t="str">
        <f t="shared" si="30"/>
        <v>No Std</v>
      </c>
      <c r="N126" s="204" t="str">
        <f>IFERROR(_xlfn.XLOOKUP($E126,'Product Cost - Price'!$B$5:$B$301,'Product Cost - Price'!$O$5:$O$301),"")</f>
        <v/>
      </c>
      <c r="O126" s="204" t="str">
        <f t="shared" si="31"/>
        <v>No Std</v>
      </c>
      <c r="P126" s="204" t="str">
        <f>IFERROR(_xlfn.XLOOKUP($E126,'Product Cost - Price'!$B$5:$B$301,'Product Cost - Price'!$P$5:$P$301),"")</f>
        <v/>
      </c>
      <c r="Q126" s="204" t="str">
        <f t="shared" si="32"/>
        <v/>
      </c>
      <c r="R126" s="204" t="str">
        <f>IFERROR(_xlfn.XLOOKUP($E126,'Product Cost - Price'!$B$5:$B$301,'Product Cost - Price'!$Q$5:$Q$301),"")</f>
        <v/>
      </c>
      <c r="S126" s="204" t="str">
        <f t="shared" si="33"/>
        <v/>
      </c>
      <c r="U126" s="204" t="str">
        <f t="shared" si="34"/>
        <v/>
      </c>
      <c r="V126" s="276" t="str">
        <f t="shared" si="35"/>
        <v/>
      </c>
    </row>
    <row r="127" spans="1:22" x14ac:dyDescent="0.3">
      <c r="A127" s="278" t="s">
        <v>757</v>
      </c>
      <c r="B127" s="278">
        <v>3</v>
      </c>
      <c r="C127" s="279">
        <v>630</v>
      </c>
      <c r="E127" s="202" t="str">
        <f t="shared" si="27"/>
        <v/>
      </c>
      <c r="F127" s="203" t="str">
        <f>IFERROR(_xlfn.XLOOKUP($E127,'Product Cost - Price'!$B$5:$B$301,'Product Cost - Price'!$E$5:$E$301),"")</f>
        <v/>
      </c>
      <c r="G127" s="203" t="str">
        <f>IFERROR(_xlfn.XLOOKUP($E127,'Product Cost - Price'!$B$5:$B$301,'Product Cost - Price'!$G$5:$G$301),"")</f>
        <v/>
      </c>
      <c r="H127" s="204" t="str">
        <f>IFERROR(_xlfn.XLOOKUP($E127,'Product Cost - Price'!$B$5:$B$301,'Product Cost - Price'!$L$5:$L$301),"")</f>
        <v/>
      </c>
      <c r="I127" s="204" t="str">
        <f t="shared" si="28"/>
        <v>No Std</v>
      </c>
      <c r="J127" s="204" t="str">
        <f>IFERROR(_xlfn.XLOOKUP($E127,'Product Cost - Price'!$B$5:$B$301,'Product Cost - Price'!$M$5:$M$301),"")</f>
        <v/>
      </c>
      <c r="K127" s="204" t="str">
        <f t="shared" si="29"/>
        <v>No Std</v>
      </c>
      <c r="L127" s="204" t="str">
        <f>IFERROR(_xlfn.XLOOKUP($E127,'Product Cost - Price'!$B$5:$B$301,'Product Cost - Price'!$N$5:$N$301),"")</f>
        <v/>
      </c>
      <c r="M127" s="204" t="str">
        <f t="shared" si="30"/>
        <v>No Std</v>
      </c>
      <c r="N127" s="204" t="str">
        <f>IFERROR(_xlfn.XLOOKUP($E127,'Product Cost - Price'!$B$5:$B$301,'Product Cost - Price'!$O$5:$O$301),"")</f>
        <v/>
      </c>
      <c r="O127" s="204" t="str">
        <f t="shared" si="31"/>
        <v>No Std</v>
      </c>
      <c r="P127" s="204" t="str">
        <f>IFERROR(_xlfn.XLOOKUP($E127,'Product Cost - Price'!$B$5:$B$301,'Product Cost - Price'!$P$5:$P$301),"")</f>
        <v/>
      </c>
      <c r="Q127" s="204" t="str">
        <f t="shared" si="32"/>
        <v/>
      </c>
      <c r="R127" s="204" t="str">
        <f>IFERROR(_xlfn.XLOOKUP($E127,'Product Cost - Price'!$B$5:$B$301,'Product Cost - Price'!$Q$5:$Q$301),"")</f>
        <v/>
      </c>
      <c r="S127" s="204" t="str">
        <f t="shared" si="33"/>
        <v/>
      </c>
      <c r="U127" s="204" t="str">
        <f t="shared" si="34"/>
        <v/>
      </c>
      <c r="V127" s="276" t="str">
        <f t="shared" si="35"/>
        <v/>
      </c>
    </row>
    <row r="128" spans="1:22" x14ac:dyDescent="0.3">
      <c r="A128" s="278" t="s">
        <v>758</v>
      </c>
      <c r="B128" s="278">
        <v>2</v>
      </c>
      <c r="C128" s="279">
        <v>390</v>
      </c>
      <c r="E128" s="202" t="str">
        <f t="shared" si="27"/>
        <v/>
      </c>
      <c r="F128" s="203" t="str">
        <f>IFERROR(_xlfn.XLOOKUP($E128,'Product Cost - Price'!$B$5:$B$301,'Product Cost - Price'!$E$5:$E$301),"")</f>
        <v/>
      </c>
      <c r="G128" s="203" t="str">
        <f>IFERROR(_xlfn.XLOOKUP($E128,'Product Cost - Price'!$B$5:$B$301,'Product Cost - Price'!$G$5:$G$301),"")</f>
        <v/>
      </c>
      <c r="H128" s="204" t="str">
        <f>IFERROR(_xlfn.XLOOKUP($E128,'Product Cost - Price'!$B$5:$B$301,'Product Cost - Price'!$L$5:$L$301),"")</f>
        <v/>
      </c>
      <c r="I128" s="204" t="str">
        <f t="shared" si="28"/>
        <v>No Std</v>
      </c>
      <c r="J128" s="204" t="str">
        <f>IFERROR(_xlfn.XLOOKUP($E128,'Product Cost - Price'!$B$5:$B$301,'Product Cost - Price'!$M$5:$M$301),"")</f>
        <v/>
      </c>
      <c r="K128" s="204" t="str">
        <f t="shared" si="29"/>
        <v>No Std</v>
      </c>
      <c r="L128" s="204" t="str">
        <f>IFERROR(_xlfn.XLOOKUP($E128,'Product Cost - Price'!$B$5:$B$301,'Product Cost - Price'!$N$5:$N$301),"")</f>
        <v/>
      </c>
      <c r="M128" s="204" t="str">
        <f t="shared" si="30"/>
        <v>No Std</v>
      </c>
      <c r="N128" s="204" t="str">
        <f>IFERROR(_xlfn.XLOOKUP($E128,'Product Cost - Price'!$B$5:$B$301,'Product Cost - Price'!$O$5:$O$301),"")</f>
        <v/>
      </c>
      <c r="O128" s="204" t="str">
        <f t="shared" si="31"/>
        <v>No Std</v>
      </c>
      <c r="P128" s="204" t="str">
        <f>IFERROR(_xlfn.XLOOKUP($E128,'Product Cost - Price'!$B$5:$B$301,'Product Cost - Price'!$P$5:$P$301),"")</f>
        <v/>
      </c>
      <c r="Q128" s="204" t="str">
        <f t="shared" si="32"/>
        <v/>
      </c>
      <c r="R128" s="204" t="str">
        <f>IFERROR(_xlfn.XLOOKUP($E128,'Product Cost - Price'!$B$5:$B$301,'Product Cost - Price'!$Q$5:$Q$301),"")</f>
        <v/>
      </c>
      <c r="S128" s="204" t="str">
        <f t="shared" si="33"/>
        <v/>
      </c>
      <c r="U128" s="204" t="str">
        <f t="shared" si="34"/>
        <v/>
      </c>
      <c r="V128" s="276" t="str">
        <f t="shared" si="35"/>
        <v/>
      </c>
    </row>
    <row r="129" spans="1:22" x14ac:dyDescent="0.3">
      <c r="A129" s="278" t="s">
        <v>759</v>
      </c>
      <c r="B129" s="278">
        <v>2</v>
      </c>
      <c r="C129" s="279">
        <v>800</v>
      </c>
      <c r="E129" s="202" t="str">
        <f t="shared" si="27"/>
        <v/>
      </c>
      <c r="F129" s="203" t="str">
        <f>IFERROR(_xlfn.XLOOKUP($E129,'Product Cost - Price'!$B$5:$B$301,'Product Cost - Price'!$E$5:$E$301),"")</f>
        <v/>
      </c>
      <c r="G129" s="203" t="str">
        <f>IFERROR(_xlfn.XLOOKUP($E129,'Product Cost - Price'!$B$5:$B$301,'Product Cost - Price'!$G$5:$G$301),"")</f>
        <v/>
      </c>
      <c r="H129" s="204" t="str">
        <f>IFERROR(_xlfn.XLOOKUP($E129,'Product Cost - Price'!$B$5:$B$301,'Product Cost - Price'!$L$5:$L$301),"")</f>
        <v/>
      </c>
      <c r="I129" s="204" t="str">
        <f t="shared" si="28"/>
        <v>No Std</v>
      </c>
      <c r="J129" s="204" t="str">
        <f>IFERROR(_xlfn.XLOOKUP($E129,'Product Cost - Price'!$B$5:$B$301,'Product Cost - Price'!$M$5:$M$301),"")</f>
        <v/>
      </c>
      <c r="K129" s="204" t="str">
        <f t="shared" si="29"/>
        <v>No Std</v>
      </c>
      <c r="L129" s="204" t="str">
        <f>IFERROR(_xlfn.XLOOKUP($E129,'Product Cost - Price'!$B$5:$B$301,'Product Cost - Price'!$N$5:$N$301),"")</f>
        <v/>
      </c>
      <c r="M129" s="204" t="str">
        <f t="shared" si="30"/>
        <v>No Std</v>
      </c>
      <c r="N129" s="204" t="str">
        <f>IFERROR(_xlfn.XLOOKUP($E129,'Product Cost - Price'!$B$5:$B$301,'Product Cost - Price'!$O$5:$O$301),"")</f>
        <v/>
      </c>
      <c r="O129" s="204" t="str">
        <f t="shared" si="31"/>
        <v>No Std</v>
      </c>
      <c r="P129" s="204" t="str">
        <f>IFERROR(_xlfn.XLOOKUP($E129,'Product Cost - Price'!$B$5:$B$301,'Product Cost - Price'!$P$5:$P$301),"")</f>
        <v/>
      </c>
      <c r="Q129" s="204" t="str">
        <f t="shared" si="32"/>
        <v/>
      </c>
      <c r="R129" s="204" t="str">
        <f>IFERROR(_xlfn.XLOOKUP($E129,'Product Cost - Price'!$B$5:$B$301,'Product Cost - Price'!$Q$5:$Q$301),"")</f>
        <v/>
      </c>
      <c r="S129" s="204" t="str">
        <f t="shared" si="33"/>
        <v/>
      </c>
      <c r="U129" s="204" t="str">
        <f t="shared" si="34"/>
        <v/>
      </c>
      <c r="V129" s="276" t="str">
        <f t="shared" si="35"/>
        <v/>
      </c>
    </row>
    <row r="130" spans="1:22" x14ac:dyDescent="0.3">
      <c r="A130" s="278" t="s">
        <v>760</v>
      </c>
      <c r="B130" s="278">
        <v>33</v>
      </c>
      <c r="C130" s="279">
        <v>481.5</v>
      </c>
      <c r="E130" s="202" t="str">
        <f t="shared" si="27"/>
        <v/>
      </c>
      <c r="F130" s="203" t="str">
        <f>IFERROR(_xlfn.XLOOKUP($E130,'Product Cost - Price'!$B$5:$B$301,'Product Cost - Price'!$E$5:$E$301),"")</f>
        <v/>
      </c>
      <c r="G130" s="203" t="str">
        <f>IFERROR(_xlfn.XLOOKUP($E130,'Product Cost - Price'!$B$5:$B$301,'Product Cost - Price'!$G$5:$G$301),"")</f>
        <v/>
      </c>
      <c r="H130" s="204" t="str">
        <f>IFERROR(_xlfn.XLOOKUP($E130,'Product Cost - Price'!$B$5:$B$301,'Product Cost - Price'!$L$5:$L$301),"")</f>
        <v/>
      </c>
      <c r="I130" s="204" t="str">
        <f t="shared" si="28"/>
        <v>No Std</v>
      </c>
      <c r="J130" s="204" t="str">
        <f>IFERROR(_xlfn.XLOOKUP($E130,'Product Cost - Price'!$B$5:$B$301,'Product Cost - Price'!$M$5:$M$301),"")</f>
        <v/>
      </c>
      <c r="K130" s="204" t="str">
        <f t="shared" si="29"/>
        <v>No Std</v>
      </c>
      <c r="L130" s="204" t="str">
        <f>IFERROR(_xlfn.XLOOKUP($E130,'Product Cost - Price'!$B$5:$B$301,'Product Cost - Price'!$N$5:$N$301),"")</f>
        <v/>
      </c>
      <c r="M130" s="204" t="str">
        <f t="shared" si="30"/>
        <v>No Std</v>
      </c>
      <c r="N130" s="204" t="str">
        <f>IFERROR(_xlfn.XLOOKUP($E130,'Product Cost - Price'!$B$5:$B$301,'Product Cost - Price'!$O$5:$O$301),"")</f>
        <v/>
      </c>
      <c r="O130" s="204" t="str">
        <f t="shared" si="31"/>
        <v>No Std</v>
      </c>
      <c r="P130" s="204" t="str">
        <f>IFERROR(_xlfn.XLOOKUP($E130,'Product Cost - Price'!$B$5:$B$301,'Product Cost - Price'!$P$5:$P$301),"")</f>
        <v/>
      </c>
      <c r="Q130" s="204" t="str">
        <f t="shared" si="32"/>
        <v/>
      </c>
      <c r="R130" s="204" t="str">
        <f>IFERROR(_xlfn.XLOOKUP($E130,'Product Cost - Price'!$B$5:$B$301,'Product Cost - Price'!$Q$5:$Q$301),"")</f>
        <v/>
      </c>
      <c r="S130" s="204" t="str">
        <f t="shared" si="33"/>
        <v/>
      </c>
      <c r="U130" s="204" t="str">
        <f t="shared" si="34"/>
        <v/>
      </c>
      <c r="V130" s="276" t="str">
        <f t="shared" si="35"/>
        <v/>
      </c>
    </row>
    <row r="131" spans="1:22" x14ac:dyDescent="0.3">
      <c r="A131" s="278" t="s">
        <v>761</v>
      </c>
      <c r="B131" s="278">
        <v>17</v>
      </c>
      <c r="C131" s="279">
        <v>510</v>
      </c>
      <c r="E131" s="202" t="str">
        <f t="shared" si="27"/>
        <v/>
      </c>
      <c r="F131" s="203" t="str">
        <f>IFERROR(_xlfn.XLOOKUP($E131,'Product Cost - Price'!$B$5:$B$301,'Product Cost - Price'!$E$5:$E$301),"")</f>
        <v/>
      </c>
      <c r="G131" s="203" t="str">
        <f>IFERROR(_xlfn.XLOOKUP($E131,'Product Cost - Price'!$B$5:$B$301,'Product Cost - Price'!$G$5:$G$301),"")</f>
        <v/>
      </c>
      <c r="H131" s="204" t="str">
        <f>IFERROR(_xlfn.XLOOKUP($E131,'Product Cost - Price'!$B$5:$B$301,'Product Cost - Price'!$L$5:$L$301),"")</f>
        <v/>
      </c>
      <c r="I131" s="204" t="str">
        <f t="shared" si="28"/>
        <v>No Std</v>
      </c>
      <c r="J131" s="204" t="str">
        <f>IFERROR(_xlfn.XLOOKUP($E131,'Product Cost - Price'!$B$5:$B$301,'Product Cost - Price'!$M$5:$M$301),"")</f>
        <v/>
      </c>
      <c r="K131" s="204" t="str">
        <f t="shared" si="29"/>
        <v>No Std</v>
      </c>
      <c r="L131" s="204" t="str">
        <f>IFERROR(_xlfn.XLOOKUP($E131,'Product Cost - Price'!$B$5:$B$301,'Product Cost - Price'!$N$5:$N$301),"")</f>
        <v/>
      </c>
      <c r="M131" s="204" t="str">
        <f t="shared" si="30"/>
        <v>No Std</v>
      </c>
      <c r="N131" s="204" t="str">
        <f>IFERROR(_xlfn.XLOOKUP($E131,'Product Cost - Price'!$B$5:$B$301,'Product Cost - Price'!$O$5:$O$301),"")</f>
        <v/>
      </c>
      <c r="O131" s="204" t="str">
        <f t="shared" si="31"/>
        <v>No Std</v>
      </c>
      <c r="P131" s="204" t="str">
        <f>IFERROR(_xlfn.XLOOKUP($E131,'Product Cost - Price'!$B$5:$B$301,'Product Cost - Price'!$P$5:$P$301),"")</f>
        <v/>
      </c>
      <c r="Q131" s="204" t="str">
        <f t="shared" si="32"/>
        <v/>
      </c>
      <c r="R131" s="204" t="str">
        <f>IFERROR(_xlfn.XLOOKUP($E131,'Product Cost - Price'!$B$5:$B$301,'Product Cost - Price'!$Q$5:$Q$301),"")</f>
        <v/>
      </c>
      <c r="S131" s="204" t="str">
        <f t="shared" si="33"/>
        <v/>
      </c>
      <c r="U131" s="204" t="str">
        <f t="shared" si="34"/>
        <v/>
      </c>
      <c r="V131" s="276" t="str">
        <f t="shared" si="35"/>
        <v/>
      </c>
    </row>
    <row r="132" spans="1:22" x14ac:dyDescent="0.3">
      <c r="A132" s="278" t="s">
        <v>762</v>
      </c>
      <c r="B132" s="278">
        <v>1</v>
      </c>
      <c r="C132" s="279">
        <v>-30</v>
      </c>
      <c r="E132" s="202" t="str">
        <f t="shared" si="27"/>
        <v/>
      </c>
      <c r="F132" s="203" t="str">
        <f>IFERROR(_xlfn.XLOOKUP($E132,'Product Cost - Price'!$B$5:$B$301,'Product Cost - Price'!$E$5:$E$301),"")</f>
        <v/>
      </c>
      <c r="G132" s="203" t="str">
        <f>IFERROR(_xlfn.XLOOKUP($E132,'Product Cost - Price'!$B$5:$B$301,'Product Cost - Price'!$G$5:$G$301),"")</f>
        <v/>
      </c>
      <c r="H132" s="204" t="str">
        <f>IFERROR(_xlfn.XLOOKUP($E132,'Product Cost - Price'!$B$5:$B$301,'Product Cost - Price'!$L$5:$L$301),"")</f>
        <v/>
      </c>
      <c r="I132" s="204" t="str">
        <f t="shared" si="28"/>
        <v>No Std</v>
      </c>
      <c r="J132" s="204" t="str">
        <f>IFERROR(_xlfn.XLOOKUP($E132,'Product Cost - Price'!$B$5:$B$301,'Product Cost - Price'!$M$5:$M$301),"")</f>
        <v/>
      </c>
      <c r="K132" s="204" t="str">
        <f t="shared" si="29"/>
        <v>No Std</v>
      </c>
      <c r="L132" s="204" t="str">
        <f>IFERROR(_xlfn.XLOOKUP($E132,'Product Cost - Price'!$B$5:$B$301,'Product Cost - Price'!$N$5:$N$301),"")</f>
        <v/>
      </c>
      <c r="M132" s="204" t="str">
        <f t="shared" si="30"/>
        <v>No Std</v>
      </c>
      <c r="N132" s="204" t="str">
        <f>IFERROR(_xlfn.XLOOKUP($E132,'Product Cost - Price'!$B$5:$B$301,'Product Cost - Price'!$O$5:$O$301),"")</f>
        <v/>
      </c>
      <c r="O132" s="204" t="str">
        <f t="shared" si="31"/>
        <v>No Std</v>
      </c>
      <c r="P132" s="204" t="str">
        <f>IFERROR(_xlfn.XLOOKUP($E132,'Product Cost - Price'!$B$5:$B$301,'Product Cost - Price'!$P$5:$P$301),"")</f>
        <v/>
      </c>
      <c r="Q132" s="204" t="str">
        <f t="shared" si="32"/>
        <v/>
      </c>
      <c r="R132" s="204" t="str">
        <f>IFERROR(_xlfn.XLOOKUP($E132,'Product Cost - Price'!$B$5:$B$301,'Product Cost - Price'!$Q$5:$Q$301),"")</f>
        <v/>
      </c>
      <c r="S132" s="204" t="str">
        <f t="shared" si="33"/>
        <v/>
      </c>
      <c r="U132" s="204" t="str">
        <f t="shared" si="34"/>
        <v/>
      </c>
      <c r="V132" s="276" t="str">
        <f t="shared" si="35"/>
        <v/>
      </c>
    </row>
    <row r="133" spans="1:22" x14ac:dyDescent="0.3">
      <c r="A133" s="278" t="s">
        <v>763</v>
      </c>
      <c r="B133" s="278">
        <v>524.17999999999995</v>
      </c>
      <c r="C133" s="279">
        <v>3940.8</v>
      </c>
      <c r="E133" s="202" t="str">
        <f t="shared" si="27"/>
        <v/>
      </c>
      <c r="F133" s="203" t="str">
        <f>IFERROR(_xlfn.XLOOKUP($E133,'Product Cost - Price'!$B$5:$B$301,'Product Cost - Price'!$E$5:$E$301),"")</f>
        <v/>
      </c>
      <c r="G133" s="203" t="str">
        <f>IFERROR(_xlfn.XLOOKUP($E133,'Product Cost - Price'!$B$5:$B$301,'Product Cost - Price'!$G$5:$G$301),"")</f>
        <v/>
      </c>
      <c r="H133" s="204" t="str">
        <f>IFERROR(_xlfn.XLOOKUP($E133,'Product Cost - Price'!$B$5:$B$301,'Product Cost - Price'!$L$5:$L$301),"")</f>
        <v/>
      </c>
      <c r="I133" s="204" t="str">
        <f t="shared" si="28"/>
        <v>No Std</v>
      </c>
      <c r="J133" s="204" t="str">
        <f>IFERROR(_xlfn.XLOOKUP($E133,'Product Cost - Price'!$B$5:$B$301,'Product Cost - Price'!$M$5:$M$301),"")</f>
        <v/>
      </c>
      <c r="K133" s="204" t="str">
        <f t="shared" si="29"/>
        <v>No Std</v>
      </c>
      <c r="L133" s="204" t="str">
        <f>IFERROR(_xlfn.XLOOKUP($E133,'Product Cost - Price'!$B$5:$B$301,'Product Cost - Price'!$N$5:$N$301),"")</f>
        <v/>
      </c>
      <c r="M133" s="204" t="str">
        <f t="shared" si="30"/>
        <v>No Std</v>
      </c>
      <c r="N133" s="204" t="str">
        <f>IFERROR(_xlfn.XLOOKUP($E133,'Product Cost - Price'!$B$5:$B$301,'Product Cost - Price'!$O$5:$O$301),"")</f>
        <v/>
      </c>
      <c r="O133" s="204" t="str">
        <f t="shared" si="31"/>
        <v>No Std</v>
      </c>
      <c r="P133" s="204" t="str">
        <f>IFERROR(_xlfn.XLOOKUP($E133,'Product Cost - Price'!$B$5:$B$301,'Product Cost - Price'!$P$5:$P$301),"")</f>
        <v/>
      </c>
      <c r="Q133" s="204" t="str">
        <f t="shared" si="32"/>
        <v/>
      </c>
      <c r="R133" s="204" t="str">
        <f>IFERROR(_xlfn.XLOOKUP($E133,'Product Cost - Price'!$B$5:$B$301,'Product Cost - Price'!$Q$5:$Q$301),"")</f>
        <v/>
      </c>
      <c r="S133" s="204" t="str">
        <f t="shared" si="33"/>
        <v/>
      </c>
      <c r="U133" s="204" t="str">
        <f t="shared" si="34"/>
        <v/>
      </c>
      <c r="V133" s="276" t="str">
        <f t="shared" si="35"/>
        <v/>
      </c>
    </row>
    <row r="134" spans="1:22" x14ac:dyDescent="0.3">
      <c r="A134" s="278" t="s">
        <v>764</v>
      </c>
      <c r="B134" s="280">
        <v>251400</v>
      </c>
      <c r="C134" s="279">
        <v>-6285</v>
      </c>
      <c r="E134" s="202" t="str">
        <f t="shared" si="27"/>
        <v/>
      </c>
      <c r="F134" s="203" t="str">
        <f>IFERROR(_xlfn.XLOOKUP($E134,'Product Cost - Price'!$B$5:$B$301,'Product Cost - Price'!$E$5:$E$301),"")</f>
        <v/>
      </c>
      <c r="G134" s="203" t="str">
        <f>IFERROR(_xlfn.XLOOKUP($E134,'Product Cost - Price'!$B$5:$B$301,'Product Cost - Price'!$G$5:$G$301),"")</f>
        <v/>
      </c>
      <c r="H134" s="204" t="str">
        <f>IFERROR(_xlfn.XLOOKUP($E134,'Product Cost - Price'!$B$5:$B$301,'Product Cost - Price'!$L$5:$L$301),"")</f>
        <v/>
      </c>
      <c r="I134" s="204" t="str">
        <f t="shared" si="28"/>
        <v>No Std</v>
      </c>
      <c r="J134" s="204" t="str">
        <f>IFERROR(_xlfn.XLOOKUP($E134,'Product Cost - Price'!$B$5:$B$301,'Product Cost - Price'!$M$5:$M$301),"")</f>
        <v/>
      </c>
      <c r="K134" s="204" t="str">
        <f t="shared" si="29"/>
        <v>No Std</v>
      </c>
      <c r="L134" s="204" t="str">
        <f>IFERROR(_xlfn.XLOOKUP($E134,'Product Cost - Price'!$B$5:$B$301,'Product Cost - Price'!$N$5:$N$301),"")</f>
        <v/>
      </c>
      <c r="M134" s="204" t="str">
        <f t="shared" si="30"/>
        <v>No Std</v>
      </c>
      <c r="N134" s="204" t="str">
        <f>IFERROR(_xlfn.XLOOKUP($E134,'Product Cost - Price'!$B$5:$B$301,'Product Cost - Price'!$O$5:$O$301),"")</f>
        <v/>
      </c>
      <c r="O134" s="204" t="str">
        <f t="shared" si="31"/>
        <v>No Std</v>
      </c>
      <c r="P134" s="204" t="str">
        <f>IFERROR(_xlfn.XLOOKUP($E134,'Product Cost - Price'!$B$5:$B$301,'Product Cost - Price'!$P$5:$P$301),"")</f>
        <v/>
      </c>
      <c r="Q134" s="204" t="str">
        <f t="shared" si="32"/>
        <v/>
      </c>
      <c r="R134" s="204" t="str">
        <f>IFERROR(_xlfn.XLOOKUP($E134,'Product Cost - Price'!$B$5:$B$301,'Product Cost - Price'!$Q$5:$Q$301),"")</f>
        <v/>
      </c>
      <c r="S134" s="204" t="str">
        <f t="shared" si="33"/>
        <v/>
      </c>
      <c r="U134" s="204" t="str">
        <f t="shared" si="34"/>
        <v/>
      </c>
      <c r="V134" s="276" t="str">
        <f t="shared" si="35"/>
        <v/>
      </c>
    </row>
    <row r="135" spans="1:22" x14ac:dyDescent="0.3">
      <c r="A135" s="278" t="s">
        <v>765</v>
      </c>
      <c r="B135" s="278">
        <v>11</v>
      </c>
      <c r="C135" s="279">
        <v>1485</v>
      </c>
      <c r="E135" s="202" t="str">
        <f t="shared" si="27"/>
        <v/>
      </c>
      <c r="F135" s="203" t="str">
        <f>IFERROR(_xlfn.XLOOKUP($E135,'Product Cost - Price'!$B$5:$B$301,'Product Cost - Price'!$E$5:$E$301),"")</f>
        <v/>
      </c>
      <c r="G135" s="203" t="str">
        <f>IFERROR(_xlfn.XLOOKUP($E135,'Product Cost - Price'!$B$5:$B$301,'Product Cost - Price'!$G$5:$G$301),"")</f>
        <v/>
      </c>
      <c r="H135" s="204" t="str">
        <f>IFERROR(_xlfn.XLOOKUP($E135,'Product Cost - Price'!$B$5:$B$301,'Product Cost - Price'!$L$5:$L$301),"")</f>
        <v/>
      </c>
      <c r="I135" s="204" t="str">
        <f t="shared" si="28"/>
        <v>No Std</v>
      </c>
      <c r="J135" s="204" t="str">
        <f>IFERROR(_xlfn.XLOOKUP($E135,'Product Cost - Price'!$B$5:$B$301,'Product Cost - Price'!$M$5:$M$301),"")</f>
        <v/>
      </c>
      <c r="K135" s="204" t="str">
        <f t="shared" si="29"/>
        <v>No Std</v>
      </c>
      <c r="L135" s="204" t="str">
        <f>IFERROR(_xlfn.XLOOKUP($E135,'Product Cost - Price'!$B$5:$B$301,'Product Cost - Price'!$N$5:$N$301),"")</f>
        <v/>
      </c>
      <c r="M135" s="204" t="str">
        <f t="shared" si="30"/>
        <v>No Std</v>
      </c>
      <c r="N135" s="204" t="str">
        <f>IFERROR(_xlfn.XLOOKUP($E135,'Product Cost - Price'!$B$5:$B$301,'Product Cost - Price'!$O$5:$O$301),"")</f>
        <v/>
      </c>
      <c r="O135" s="204" t="str">
        <f t="shared" si="31"/>
        <v>No Std</v>
      </c>
      <c r="P135" s="204" t="str">
        <f>IFERROR(_xlfn.XLOOKUP($E135,'Product Cost - Price'!$B$5:$B$301,'Product Cost - Price'!$P$5:$P$301),"")</f>
        <v/>
      </c>
      <c r="Q135" s="204" t="str">
        <f t="shared" si="32"/>
        <v/>
      </c>
      <c r="R135" s="204" t="str">
        <f>IFERROR(_xlfn.XLOOKUP($E135,'Product Cost - Price'!$B$5:$B$301,'Product Cost - Price'!$Q$5:$Q$301),"")</f>
        <v/>
      </c>
      <c r="S135" s="204" t="str">
        <f t="shared" si="33"/>
        <v/>
      </c>
      <c r="U135" s="204" t="str">
        <f t="shared" si="34"/>
        <v/>
      </c>
      <c r="V135" s="276" t="str">
        <f t="shared" si="35"/>
        <v/>
      </c>
    </row>
    <row r="136" spans="1:22" x14ac:dyDescent="0.3">
      <c r="A136" s="207"/>
      <c r="B136" s="208"/>
      <c r="C136" s="274"/>
      <c r="E136" s="202" t="str">
        <f t="shared" ref="E136:E196" si="36">IFERROR(VALUE(LEFT(A136,6)),"")</f>
        <v/>
      </c>
      <c r="F136" s="203" t="str">
        <f>IFERROR(_xlfn.XLOOKUP($E136,'Product Cost - Price'!$B$5:$B$301,'Product Cost - Price'!$E$5:$E$301),"")</f>
        <v/>
      </c>
      <c r="G136" s="203" t="str">
        <f>IFERROR(_xlfn.XLOOKUP($E136,'Product Cost - Price'!$B$5:$B$301,'Product Cost - Price'!$G$5:$G$301),"")</f>
        <v/>
      </c>
      <c r="H136" s="204" t="str">
        <f>IFERROR(_xlfn.XLOOKUP($E136,'Product Cost - Price'!$B$5:$B$301,'Product Cost - Price'!$L$5:$L$301),"")</f>
        <v/>
      </c>
      <c r="I136" s="204" t="str">
        <f t="shared" ref="I136:I196" si="37">IFERROR(IF($F136="Standard",H136*$G136*$B136,IF(OR($F136="Per Unit",$F136="Bulka"),H136*$B136,IF($F136="1.5 kg",H136*1.5*8*$B136,"No Std"))),0)</f>
        <v>No Std</v>
      </c>
      <c r="J136" s="204" t="str">
        <f>IFERROR(_xlfn.XLOOKUP($E136,'Product Cost - Price'!$B$5:$B$301,'Product Cost - Price'!$M$5:$M$301),"")</f>
        <v/>
      </c>
      <c r="K136" s="204" t="str">
        <f t="shared" ref="K136:K196" si="38">IFERROR(IF($F136="Standard",J136*$G136*$B136,IF(OR($F136="Per Unit",$F136="Bulka"),J136*$B136,IF($F136="1.5 kg",J136*1.5*8*$B136,"No Std"))),0)</f>
        <v>No Std</v>
      </c>
      <c r="L136" s="204" t="str">
        <f>IFERROR(_xlfn.XLOOKUP($E136,'Product Cost - Price'!$B$5:$B$301,'Product Cost - Price'!$N$5:$N$301),"")</f>
        <v/>
      </c>
      <c r="M136" s="204" t="str">
        <f t="shared" ref="M136:M196" si="39">IFERROR(IF($F136="Standard",L136*$G136*$B136,IF(OR($F136="Per Unit",$F136="Bulka"),L136*$B136,IF($F136="1.5 kg",L136*1.5*8*$B136,"No Std"))),0)</f>
        <v>No Std</v>
      </c>
      <c r="N136" s="204" t="str">
        <f>IFERROR(_xlfn.XLOOKUP($E136,'Product Cost - Price'!$B$5:$B$301,'Product Cost - Price'!$O$5:$O$301),"")</f>
        <v/>
      </c>
      <c r="O136" s="204" t="str">
        <f t="shared" ref="O136:O196" si="40">IFERROR(IF($F136="Standard",N136*$G136*$B136,IF(OR($F136="Per Unit",$F136="Bulka"),N136*$B136,IF($F136="1.5 kg",N136*1.5*8*$B136,"No Std"))),0)</f>
        <v>No Std</v>
      </c>
      <c r="P136" s="204" t="str">
        <f>IFERROR(_xlfn.XLOOKUP($E136,'Product Cost - Price'!$B$5:$B$301,'Product Cost - Price'!$P$5:$P$301),"")</f>
        <v/>
      </c>
      <c r="Q136" s="204" t="str">
        <f t="shared" ref="Q136:Q196" si="41">IF(P136="","",P136*B136)</f>
        <v/>
      </c>
      <c r="R136" s="204" t="str">
        <f>IFERROR(_xlfn.XLOOKUP($E136,'Product Cost - Price'!$B$5:$B$301,'Product Cost - Price'!$Q$5:$Q$301),"")</f>
        <v/>
      </c>
      <c r="S136" s="204" t="str">
        <f t="shared" ref="S136:S196" si="42">IF(R136="","",R136*B136)</f>
        <v/>
      </c>
      <c r="U136" s="204" t="str">
        <f t="shared" ref="U136:U196" si="43">IFERROR(C136-I136-K136-M136-O136-Q136-S136,"")</f>
        <v/>
      </c>
      <c r="V136" s="276" t="str">
        <f t="shared" ref="V136:V196" si="44">IFERROR(U136/C136,"")</f>
        <v/>
      </c>
    </row>
    <row r="137" spans="1:22" x14ac:dyDescent="0.3">
      <c r="A137" s="207"/>
      <c r="B137" s="208"/>
      <c r="C137" s="274"/>
      <c r="E137" s="202" t="str">
        <f t="shared" si="36"/>
        <v/>
      </c>
      <c r="F137" s="203" t="str">
        <f>IFERROR(_xlfn.XLOOKUP($E137,'Product Cost - Price'!$B$5:$B$301,'Product Cost - Price'!$E$5:$E$301),"")</f>
        <v/>
      </c>
      <c r="G137" s="203" t="str">
        <f>IFERROR(_xlfn.XLOOKUP($E137,'Product Cost - Price'!$B$5:$B$301,'Product Cost - Price'!$G$5:$G$301),"")</f>
        <v/>
      </c>
      <c r="H137" s="204" t="str">
        <f>IFERROR(_xlfn.XLOOKUP($E137,'Product Cost - Price'!$B$5:$B$301,'Product Cost - Price'!$L$5:$L$301),"")</f>
        <v/>
      </c>
      <c r="I137" s="204" t="str">
        <f t="shared" si="37"/>
        <v>No Std</v>
      </c>
      <c r="J137" s="204" t="str">
        <f>IFERROR(_xlfn.XLOOKUP($E137,'Product Cost - Price'!$B$5:$B$301,'Product Cost - Price'!$M$5:$M$301),"")</f>
        <v/>
      </c>
      <c r="K137" s="204" t="str">
        <f t="shared" si="38"/>
        <v>No Std</v>
      </c>
      <c r="L137" s="204" t="str">
        <f>IFERROR(_xlfn.XLOOKUP($E137,'Product Cost - Price'!$B$5:$B$301,'Product Cost - Price'!$N$5:$N$301),"")</f>
        <v/>
      </c>
      <c r="M137" s="204" t="str">
        <f t="shared" si="39"/>
        <v>No Std</v>
      </c>
      <c r="N137" s="204" t="str">
        <f>IFERROR(_xlfn.XLOOKUP($E137,'Product Cost - Price'!$B$5:$B$301,'Product Cost - Price'!$O$5:$O$301),"")</f>
        <v/>
      </c>
      <c r="O137" s="204" t="str">
        <f t="shared" si="40"/>
        <v>No Std</v>
      </c>
      <c r="P137" s="204" t="str">
        <f>IFERROR(_xlfn.XLOOKUP($E137,'Product Cost - Price'!$B$5:$B$301,'Product Cost - Price'!$P$5:$P$301),"")</f>
        <v/>
      </c>
      <c r="Q137" s="204" t="str">
        <f t="shared" si="41"/>
        <v/>
      </c>
      <c r="R137" s="204" t="str">
        <f>IFERROR(_xlfn.XLOOKUP($E137,'Product Cost - Price'!$B$5:$B$301,'Product Cost - Price'!$Q$5:$Q$301),"")</f>
        <v/>
      </c>
      <c r="S137" s="204" t="str">
        <f t="shared" si="42"/>
        <v/>
      </c>
      <c r="U137" s="204" t="str">
        <f t="shared" si="43"/>
        <v/>
      </c>
      <c r="V137" s="276" t="str">
        <f t="shared" si="44"/>
        <v/>
      </c>
    </row>
    <row r="138" spans="1:22" x14ac:dyDescent="0.3">
      <c r="A138" s="207"/>
      <c r="B138" s="208"/>
      <c r="C138" s="274"/>
      <c r="E138" s="202" t="str">
        <f t="shared" si="36"/>
        <v/>
      </c>
      <c r="F138" s="203" t="str">
        <f>IFERROR(_xlfn.XLOOKUP($E138,'Product Cost - Price'!$B$5:$B$301,'Product Cost - Price'!$E$5:$E$301),"")</f>
        <v/>
      </c>
      <c r="G138" s="203" t="str">
        <f>IFERROR(_xlfn.XLOOKUP($E138,'Product Cost - Price'!$B$5:$B$301,'Product Cost - Price'!$G$5:$G$301),"")</f>
        <v/>
      </c>
      <c r="H138" s="204" t="str">
        <f>IFERROR(_xlfn.XLOOKUP($E138,'Product Cost - Price'!$B$5:$B$301,'Product Cost - Price'!$L$5:$L$301),"")</f>
        <v/>
      </c>
      <c r="I138" s="204" t="str">
        <f t="shared" si="37"/>
        <v>No Std</v>
      </c>
      <c r="J138" s="204" t="str">
        <f>IFERROR(_xlfn.XLOOKUP($E138,'Product Cost - Price'!$B$5:$B$301,'Product Cost - Price'!$M$5:$M$301),"")</f>
        <v/>
      </c>
      <c r="K138" s="204" t="str">
        <f t="shared" si="38"/>
        <v>No Std</v>
      </c>
      <c r="L138" s="204" t="str">
        <f>IFERROR(_xlfn.XLOOKUP($E138,'Product Cost - Price'!$B$5:$B$301,'Product Cost - Price'!$N$5:$N$301),"")</f>
        <v/>
      </c>
      <c r="M138" s="204" t="str">
        <f t="shared" si="39"/>
        <v>No Std</v>
      </c>
      <c r="N138" s="204" t="str">
        <f>IFERROR(_xlfn.XLOOKUP($E138,'Product Cost - Price'!$B$5:$B$301,'Product Cost - Price'!$O$5:$O$301),"")</f>
        <v/>
      </c>
      <c r="O138" s="204" t="str">
        <f t="shared" si="40"/>
        <v>No Std</v>
      </c>
      <c r="P138" s="204" t="str">
        <f>IFERROR(_xlfn.XLOOKUP($E138,'Product Cost - Price'!$B$5:$B$301,'Product Cost - Price'!$P$5:$P$301),"")</f>
        <v/>
      </c>
      <c r="Q138" s="204" t="str">
        <f t="shared" si="41"/>
        <v/>
      </c>
      <c r="R138" s="204" t="str">
        <f>IFERROR(_xlfn.XLOOKUP($E138,'Product Cost - Price'!$B$5:$B$301,'Product Cost - Price'!$Q$5:$Q$301),"")</f>
        <v/>
      </c>
      <c r="S138" s="204" t="str">
        <f t="shared" si="42"/>
        <v/>
      </c>
      <c r="U138" s="204" t="str">
        <f t="shared" si="43"/>
        <v/>
      </c>
      <c r="V138" s="276" t="str">
        <f t="shared" si="44"/>
        <v/>
      </c>
    </row>
    <row r="139" spans="1:22" x14ac:dyDescent="0.3">
      <c r="A139" s="207"/>
      <c r="B139" s="208"/>
      <c r="C139" s="274"/>
      <c r="E139" s="202" t="str">
        <f t="shared" si="36"/>
        <v/>
      </c>
      <c r="F139" s="203" t="str">
        <f>IFERROR(_xlfn.XLOOKUP($E139,'Product Cost - Price'!$B$5:$B$301,'Product Cost - Price'!$E$5:$E$301),"")</f>
        <v/>
      </c>
      <c r="G139" s="203" t="str">
        <f>IFERROR(_xlfn.XLOOKUP($E139,'Product Cost - Price'!$B$5:$B$301,'Product Cost - Price'!$G$5:$G$301),"")</f>
        <v/>
      </c>
      <c r="H139" s="204" t="str">
        <f>IFERROR(_xlfn.XLOOKUP($E139,'Product Cost - Price'!$B$5:$B$301,'Product Cost - Price'!$L$5:$L$301),"")</f>
        <v/>
      </c>
      <c r="I139" s="204" t="str">
        <f t="shared" si="37"/>
        <v>No Std</v>
      </c>
      <c r="J139" s="204" t="str">
        <f>IFERROR(_xlfn.XLOOKUP($E139,'Product Cost - Price'!$B$5:$B$301,'Product Cost - Price'!$M$5:$M$301),"")</f>
        <v/>
      </c>
      <c r="K139" s="204" t="str">
        <f t="shared" si="38"/>
        <v>No Std</v>
      </c>
      <c r="L139" s="204" t="str">
        <f>IFERROR(_xlfn.XLOOKUP($E139,'Product Cost - Price'!$B$5:$B$301,'Product Cost - Price'!$N$5:$N$301),"")</f>
        <v/>
      </c>
      <c r="M139" s="204" t="str">
        <f t="shared" si="39"/>
        <v>No Std</v>
      </c>
      <c r="N139" s="204" t="str">
        <f>IFERROR(_xlfn.XLOOKUP($E139,'Product Cost - Price'!$B$5:$B$301,'Product Cost - Price'!$O$5:$O$301),"")</f>
        <v/>
      </c>
      <c r="O139" s="204" t="str">
        <f t="shared" si="40"/>
        <v>No Std</v>
      </c>
      <c r="P139" s="204" t="str">
        <f>IFERROR(_xlfn.XLOOKUP($E139,'Product Cost - Price'!$B$5:$B$301,'Product Cost - Price'!$P$5:$P$301),"")</f>
        <v/>
      </c>
      <c r="Q139" s="204" t="str">
        <f t="shared" si="41"/>
        <v/>
      </c>
      <c r="R139" s="204" t="str">
        <f>IFERROR(_xlfn.XLOOKUP($E139,'Product Cost - Price'!$B$5:$B$301,'Product Cost - Price'!$Q$5:$Q$301),"")</f>
        <v/>
      </c>
      <c r="S139" s="204" t="str">
        <f t="shared" si="42"/>
        <v/>
      </c>
      <c r="U139" s="204" t="str">
        <f t="shared" si="43"/>
        <v/>
      </c>
      <c r="V139" s="276" t="str">
        <f t="shared" si="44"/>
        <v/>
      </c>
    </row>
    <row r="140" spans="1:22" x14ac:dyDescent="0.3">
      <c r="A140" s="207"/>
      <c r="B140" s="208"/>
      <c r="C140" s="274"/>
      <c r="E140" s="202" t="str">
        <f t="shared" si="36"/>
        <v/>
      </c>
      <c r="F140" s="203" t="str">
        <f>IFERROR(_xlfn.XLOOKUP($E140,'Product Cost - Price'!$B$5:$B$301,'Product Cost - Price'!$E$5:$E$301),"")</f>
        <v/>
      </c>
      <c r="G140" s="203" t="str">
        <f>IFERROR(_xlfn.XLOOKUP($E140,'Product Cost - Price'!$B$5:$B$301,'Product Cost - Price'!$G$5:$G$301),"")</f>
        <v/>
      </c>
      <c r="H140" s="204" t="str">
        <f>IFERROR(_xlfn.XLOOKUP($E140,'Product Cost - Price'!$B$5:$B$301,'Product Cost - Price'!$L$5:$L$301),"")</f>
        <v/>
      </c>
      <c r="I140" s="204" t="str">
        <f t="shared" si="37"/>
        <v>No Std</v>
      </c>
      <c r="J140" s="204" t="str">
        <f>IFERROR(_xlfn.XLOOKUP($E140,'Product Cost - Price'!$B$5:$B$301,'Product Cost - Price'!$M$5:$M$301),"")</f>
        <v/>
      </c>
      <c r="K140" s="204" t="str">
        <f t="shared" si="38"/>
        <v>No Std</v>
      </c>
      <c r="L140" s="204" t="str">
        <f>IFERROR(_xlfn.XLOOKUP($E140,'Product Cost - Price'!$B$5:$B$301,'Product Cost - Price'!$N$5:$N$301),"")</f>
        <v/>
      </c>
      <c r="M140" s="204" t="str">
        <f t="shared" si="39"/>
        <v>No Std</v>
      </c>
      <c r="N140" s="204" t="str">
        <f>IFERROR(_xlfn.XLOOKUP($E140,'Product Cost - Price'!$B$5:$B$301,'Product Cost - Price'!$O$5:$O$301),"")</f>
        <v/>
      </c>
      <c r="O140" s="204" t="str">
        <f t="shared" si="40"/>
        <v>No Std</v>
      </c>
      <c r="P140" s="204" t="str">
        <f>IFERROR(_xlfn.XLOOKUP($E140,'Product Cost - Price'!$B$5:$B$301,'Product Cost - Price'!$P$5:$P$301),"")</f>
        <v/>
      </c>
      <c r="Q140" s="204" t="str">
        <f t="shared" si="41"/>
        <v/>
      </c>
      <c r="R140" s="204" t="str">
        <f>IFERROR(_xlfn.XLOOKUP($E140,'Product Cost - Price'!$B$5:$B$301,'Product Cost - Price'!$Q$5:$Q$301),"")</f>
        <v/>
      </c>
      <c r="S140" s="204" t="str">
        <f t="shared" si="42"/>
        <v/>
      </c>
      <c r="U140" s="204" t="str">
        <f t="shared" si="43"/>
        <v/>
      </c>
      <c r="V140" s="276" t="str">
        <f t="shared" si="44"/>
        <v/>
      </c>
    </row>
    <row r="141" spans="1:22" x14ac:dyDescent="0.3">
      <c r="A141" s="207"/>
      <c r="B141" s="208"/>
      <c r="C141" s="274"/>
      <c r="E141" s="202" t="str">
        <f t="shared" si="36"/>
        <v/>
      </c>
      <c r="F141" s="203" t="str">
        <f>IFERROR(_xlfn.XLOOKUP($E141,'Product Cost - Price'!$B$5:$B$301,'Product Cost - Price'!$E$5:$E$301),"")</f>
        <v/>
      </c>
      <c r="G141" s="203" t="str">
        <f>IFERROR(_xlfn.XLOOKUP($E141,'Product Cost - Price'!$B$5:$B$301,'Product Cost - Price'!$G$5:$G$301),"")</f>
        <v/>
      </c>
      <c r="H141" s="204" t="str">
        <f>IFERROR(_xlfn.XLOOKUP($E141,'Product Cost - Price'!$B$5:$B$301,'Product Cost - Price'!$L$5:$L$301),"")</f>
        <v/>
      </c>
      <c r="I141" s="204" t="str">
        <f t="shared" si="37"/>
        <v>No Std</v>
      </c>
      <c r="J141" s="204" t="str">
        <f>IFERROR(_xlfn.XLOOKUP($E141,'Product Cost - Price'!$B$5:$B$301,'Product Cost - Price'!$M$5:$M$301),"")</f>
        <v/>
      </c>
      <c r="K141" s="204" t="str">
        <f t="shared" si="38"/>
        <v>No Std</v>
      </c>
      <c r="L141" s="204" t="str">
        <f>IFERROR(_xlfn.XLOOKUP($E141,'Product Cost - Price'!$B$5:$B$301,'Product Cost - Price'!$N$5:$N$301),"")</f>
        <v/>
      </c>
      <c r="M141" s="204" t="str">
        <f t="shared" si="39"/>
        <v>No Std</v>
      </c>
      <c r="N141" s="204" t="str">
        <f>IFERROR(_xlfn.XLOOKUP($E141,'Product Cost - Price'!$B$5:$B$301,'Product Cost - Price'!$O$5:$O$301),"")</f>
        <v/>
      </c>
      <c r="O141" s="204" t="str">
        <f t="shared" si="40"/>
        <v>No Std</v>
      </c>
      <c r="P141" s="204" t="str">
        <f>IFERROR(_xlfn.XLOOKUP($E141,'Product Cost - Price'!$B$5:$B$301,'Product Cost - Price'!$P$5:$P$301),"")</f>
        <v/>
      </c>
      <c r="Q141" s="204" t="str">
        <f t="shared" si="41"/>
        <v/>
      </c>
      <c r="R141" s="204" t="str">
        <f>IFERROR(_xlfn.XLOOKUP($E141,'Product Cost - Price'!$B$5:$B$301,'Product Cost - Price'!$Q$5:$Q$301),"")</f>
        <v/>
      </c>
      <c r="S141" s="204" t="str">
        <f t="shared" si="42"/>
        <v/>
      </c>
      <c r="U141" s="204" t="str">
        <f t="shared" si="43"/>
        <v/>
      </c>
      <c r="V141" s="276" t="str">
        <f t="shared" si="44"/>
        <v/>
      </c>
    </row>
    <row r="142" spans="1:22" x14ac:dyDescent="0.3">
      <c r="A142" s="207"/>
      <c r="B142" s="208"/>
      <c r="C142" s="274"/>
      <c r="E142" s="202" t="str">
        <f t="shared" si="36"/>
        <v/>
      </c>
      <c r="F142" s="203" t="str">
        <f>IFERROR(_xlfn.XLOOKUP($E142,'Product Cost - Price'!$B$5:$B$301,'Product Cost - Price'!$E$5:$E$301),"")</f>
        <v/>
      </c>
      <c r="G142" s="203" t="str">
        <f>IFERROR(_xlfn.XLOOKUP($E142,'Product Cost - Price'!$B$5:$B$301,'Product Cost - Price'!$G$5:$G$301),"")</f>
        <v/>
      </c>
      <c r="H142" s="204" t="str">
        <f>IFERROR(_xlfn.XLOOKUP($E142,'Product Cost - Price'!$B$5:$B$301,'Product Cost - Price'!$L$5:$L$301),"")</f>
        <v/>
      </c>
      <c r="I142" s="204" t="str">
        <f t="shared" si="37"/>
        <v>No Std</v>
      </c>
      <c r="J142" s="204" t="str">
        <f>IFERROR(_xlfn.XLOOKUP($E142,'Product Cost - Price'!$B$5:$B$301,'Product Cost - Price'!$M$5:$M$301),"")</f>
        <v/>
      </c>
      <c r="K142" s="204" t="str">
        <f t="shared" si="38"/>
        <v>No Std</v>
      </c>
      <c r="L142" s="204" t="str">
        <f>IFERROR(_xlfn.XLOOKUP($E142,'Product Cost - Price'!$B$5:$B$301,'Product Cost - Price'!$N$5:$N$301),"")</f>
        <v/>
      </c>
      <c r="M142" s="204" t="str">
        <f t="shared" si="39"/>
        <v>No Std</v>
      </c>
      <c r="N142" s="204" t="str">
        <f>IFERROR(_xlfn.XLOOKUP($E142,'Product Cost - Price'!$B$5:$B$301,'Product Cost - Price'!$O$5:$O$301),"")</f>
        <v/>
      </c>
      <c r="O142" s="204" t="str">
        <f t="shared" si="40"/>
        <v>No Std</v>
      </c>
      <c r="P142" s="204" t="str">
        <f>IFERROR(_xlfn.XLOOKUP($E142,'Product Cost - Price'!$B$5:$B$301,'Product Cost - Price'!$P$5:$P$301),"")</f>
        <v/>
      </c>
      <c r="Q142" s="204" t="str">
        <f t="shared" si="41"/>
        <v/>
      </c>
      <c r="R142" s="204" t="str">
        <f>IFERROR(_xlfn.XLOOKUP($E142,'Product Cost - Price'!$B$5:$B$301,'Product Cost - Price'!$Q$5:$Q$301),"")</f>
        <v/>
      </c>
      <c r="S142" s="204" t="str">
        <f t="shared" si="42"/>
        <v/>
      </c>
      <c r="U142" s="204" t="str">
        <f t="shared" si="43"/>
        <v/>
      </c>
      <c r="V142" s="276" t="str">
        <f t="shared" si="44"/>
        <v/>
      </c>
    </row>
    <row r="143" spans="1:22" x14ac:dyDescent="0.3">
      <c r="A143" s="207"/>
      <c r="B143" s="208"/>
      <c r="C143" s="274"/>
      <c r="E143" s="202" t="str">
        <f t="shared" si="36"/>
        <v/>
      </c>
      <c r="F143" s="203" t="str">
        <f>IFERROR(_xlfn.XLOOKUP($E143,'Product Cost - Price'!$B$5:$B$301,'Product Cost - Price'!$E$5:$E$301),"")</f>
        <v/>
      </c>
      <c r="G143" s="203" t="str">
        <f>IFERROR(_xlfn.XLOOKUP($E143,'Product Cost - Price'!$B$5:$B$301,'Product Cost - Price'!$G$5:$G$301),"")</f>
        <v/>
      </c>
      <c r="H143" s="204" t="str">
        <f>IFERROR(_xlfn.XLOOKUP($E143,'Product Cost - Price'!$B$5:$B$301,'Product Cost - Price'!$L$5:$L$301),"")</f>
        <v/>
      </c>
      <c r="I143" s="204" t="str">
        <f t="shared" si="37"/>
        <v>No Std</v>
      </c>
      <c r="J143" s="204" t="str">
        <f>IFERROR(_xlfn.XLOOKUP($E143,'Product Cost - Price'!$B$5:$B$301,'Product Cost - Price'!$M$5:$M$301),"")</f>
        <v/>
      </c>
      <c r="K143" s="204" t="str">
        <f t="shared" si="38"/>
        <v>No Std</v>
      </c>
      <c r="L143" s="204" t="str">
        <f>IFERROR(_xlfn.XLOOKUP($E143,'Product Cost - Price'!$B$5:$B$301,'Product Cost - Price'!$N$5:$N$301),"")</f>
        <v/>
      </c>
      <c r="M143" s="204" t="str">
        <f t="shared" si="39"/>
        <v>No Std</v>
      </c>
      <c r="N143" s="204" t="str">
        <f>IFERROR(_xlfn.XLOOKUP($E143,'Product Cost - Price'!$B$5:$B$301,'Product Cost - Price'!$O$5:$O$301),"")</f>
        <v/>
      </c>
      <c r="O143" s="204" t="str">
        <f t="shared" si="40"/>
        <v>No Std</v>
      </c>
      <c r="P143" s="204" t="str">
        <f>IFERROR(_xlfn.XLOOKUP($E143,'Product Cost - Price'!$B$5:$B$301,'Product Cost - Price'!$P$5:$P$301),"")</f>
        <v/>
      </c>
      <c r="Q143" s="204" t="str">
        <f t="shared" si="41"/>
        <v/>
      </c>
      <c r="R143" s="204" t="str">
        <f>IFERROR(_xlfn.XLOOKUP($E143,'Product Cost - Price'!$B$5:$B$301,'Product Cost - Price'!$Q$5:$Q$301),"")</f>
        <v/>
      </c>
      <c r="S143" s="204" t="str">
        <f t="shared" si="42"/>
        <v/>
      </c>
      <c r="U143" s="204" t="str">
        <f t="shared" si="43"/>
        <v/>
      </c>
      <c r="V143" s="276" t="str">
        <f t="shared" si="44"/>
        <v/>
      </c>
    </row>
    <row r="144" spans="1:22" x14ac:dyDescent="0.3">
      <c r="A144" s="207"/>
      <c r="B144" s="208"/>
      <c r="C144" s="274"/>
      <c r="E144" s="202" t="str">
        <f t="shared" si="36"/>
        <v/>
      </c>
      <c r="F144" s="203" t="str">
        <f>IFERROR(_xlfn.XLOOKUP($E144,'Product Cost - Price'!$B$5:$B$301,'Product Cost - Price'!$E$5:$E$301),"")</f>
        <v/>
      </c>
      <c r="G144" s="203" t="str">
        <f>IFERROR(_xlfn.XLOOKUP($E144,'Product Cost - Price'!$B$5:$B$301,'Product Cost - Price'!$G$5:$G$301),"")</f>
        <v/>
      </c>
      <c r="H144" s="204" t="str">
        <f>IFERROR(_xlfn.XLOOKUP($E144,'Product Cost - Price'!$B$5:$B$301,'Product Cost - Price'!$L$5:$L$301),"")</f>
        <v/>
      </c>
      <c r="I144" s="204" t="str">
        <f t="shared" si="37"/>
        <v>No Std</v>
      </c>
      <c r="J144" s="204" t="str">
        <f>IFERROR(_xlfn.XLOOKUP($E144,'Product Cost - Price'!$B$5:$B$301,'Product Cost - Price'!$M$5:$M$301),"")</f>
        <v/>
      </c>
      <c r="K144" s="204" t="str">
        <f t="shared" si="38"/>
        <v>No Std</v>
      </c>
      <c r="L144" s="204" t="str">
        <f>IFERROR(_xlfn.XLOOKUP($E144,'Product Cost - Price'!$B$5:$B$301,'Product Cost - Price'!$N$5:$N$301),"")</f>
        <v/>
      </c>
      <c r="M144" s="204" t="str">
        <f t="shared" si="39"/>
        <v>No Std</v>
      </c>
      <c r="N144" s="204" t="str">
        <f>IFERROR(_xlfn.XLOOKUP($E144,'Product Cost - Price'!$B$5:$B$301,'Product Cost - Price'!$O$5:$O$301),"")</f>
        <v/>
      </c>
      <c r="O144" s="204" t="str">
        <f t="shared" si="40"/>
        <v>No Std</v>
      </c>
      <c r="P144" s="204" t="str">
        <f>IFERROR(_xlfn.XLOOKUP($E144,'Product Cost - Price'!$B$5:$B$301,'Product Cost - Price'!$P$5:$P$301),"")</f>
        <v/>
      </c>
      <c r="Q144" s="204" t="str">
        <f t="shared" si="41"/>
        <v/>
      </c>
      <c r="R144" s="204" t="str">
        <f>IFERROR(_xlfn.XLOOKUP($E144,'Product Cost - Price'!$B$5:$B$301,'Product Cost - Price'!$Q$5:$Q$301),"")</f>
        <v/>
      </c>
      <c r="S144" s="204" t="str">
        <f t="shared" si="42"/>
        <v/>
      </c>
      <c r="U144" s="204" t="str">
        <f t="shared" si="43"/>
        <v/>
      </c>
      <c r="V144" s="276" t="str">
        <f t="shared" si="44"/>
        <v/>
      </c>
    </row>
    <row r="145" spans="1:22" x14ac:dyDescent="0.3">
      <c r="A145" s="207"/>
      <c r="B145" s="208"/>
      <c r="C145" s="274"/>
      <c r="E145" s="202" t="str">
        <f t="shared" si="36"/>
        <v/>
      </c>
      <c r="F145" s="203" t="str">
        <f>IFERROR(_xlfn.XLOOKUP($E145,'Product Cost - Price'!$B$5:$B$301,'Product Cost - Price'!$E$5:$E$301),"")</f>
        <v/>
      </c>
      <c r="G145" s="203" t="str">
        <f>IFERROR(_xlfn.XLOOKUP($E145,'Product Cost - Price'!$B$5:$B$301,'Product Cost - Price'!$G$5:$G$301),"")</f>
        <v/>
      </c>
      <c r="H145" s="204" t="str">
        <f>IFERROR(_xlfn.XLOOKUP($E145,'Product Cost - Price'!$B$5:$B$301,'Product Cost - Price'!$L$5:$L$301),"")</f>
        <v/>
      </c>
      <c r="I145" s="204" t="str">
        <f t="shared" si="37"/>
        <v>No Std</v>
      </c>
      <c r="J145" s="204" t="str">
        <f>IFERROR(_xlfn.XLOOKUP($E145,'Product Cost - Price'!$B$5:$B$301,'Product Cost - Price'!$M$5:$M$301),"")</f>
        <v/>
      </c>
      <c r="K145" s="204" t="str">
        <f t="shared" si="38"/>
        <v>No Std</v>
      </c>
      <c r="L145" s="204" t="str">
        <f>IFERROR(_xlfn.XLOOKUP($E145,'Product Cost - Price'!$B$5:$B$301,'Product Cost - Price'!$N$5:$N$301),"")</f>
        <v/>
      </c>
      <c r="M145" s="204" t="str">
        <f t="shared" si="39"/>
        <v>No Std</v>
      </c>
      <c r="N145" s="204" t="str">
        <f>IFERROR(_xlfn.XLOOKUP($E145,'Product Cost - Price'!$B$5:$B$301,'Product Cost - Price'!$O$5:$O$301),"")</f>
        <v/>
      </c>
      <c r="O145" s="204" t="str">
        <f t="shared" si="40"/>
        <v>No Std</v>
      </c>
      <c r="P145" s="204" t="str">
        <f>IFERROR(_xlfn.XLOOKUP($E145,'Product Cost - Price'!$B$5:$B$301,'Product Cost - Price'!$P$5:$P$301),"")</f>
        <v/>
      </c>
      <c r="Q145" s="204" t="str">
        <f t="shared" si="41"/>
        <v/>
      </c>
      <c r="R145" s="204" t="str">
        <f>IFERROR(_xlfn.XLOOKUP($E145,'Product Cost - Price'!$B$5:$B$301,'Product Cost - Price'!$Q$5:$Q$301),"")</f>
        <v/>
      </c>
      <c r="S145" s="204" t="str">
        <f t="shared" si="42"/>
        <v/>
      </c>
      <c r="U145" s="204" t="str">
        <f t="shared" si="43"/>
        <v/>
      </c>
      <c r="V145" s="276" t="str">
        <f t="shared" si="44"/>
        <v/>
      </c>
    </row>
    <row r="146" spans="1:22" x14ac:dyDescent="0.3">
      <c r="A146" s="207"/>
      <c r="B146" s="208"/>
      <c r="C146" s="274"/>
      <c r="E146" s="202" t="str">
        <f t="shared" si="36"/>
        <v/>
      </c>
      <c r="F146" s="203" t="str">
        <f>IFERROR(_xlfn.XLOOKUP($E146,'Product Cost - Price'!$B$5:$B$301,'Product Cost - Price'!$E$5:$E$301),"")</f>
        <v/>
      </c>
      <c r="G146" s="203" t="str">
        <f>IFERROR(_xlfn.XLOOKUP($E146,'Product Cost - Price'!$B$5:$B$301,'Product Cost - Price'!$G$5:$G$301),"")</f>
        <v/>
      </c>
      <c r="H146" s="204" t="str">
        <f>IFERROR(_xlfn.XLOOKUP($E146,'Product Cost - Price'!$B$5:$B$301,'Product Cost - Price'!$L$5:$L$301),"")</f>
        <v/>
      </c>
      <c r="I146" s="204" t="str">
        <f t="shared" si="37"/>
        <v>No Std</v>
      </c>
      <c r="J146" s="204" t="str">
        <f>IFERROR(_xlfn.XLOOKUP($E146,'Product Cost - Price'!$B$5:$B$301,'Product Cost - Price'!$M$5:$M$301),"")</f>
        <v/>
      </c>
      <c r="K146" s="204" t="str">
        <f t="shared" si="38"/>
        <v>No Std</v>
      </c>
      <c r="L146" s="204" t="str">
        <f>IFERROR(_xlfn.XLOOKUP($E146,'Product Cost - Price'!$B$5:$B$301,'Product Cost - Price'!$N$5:$N$301),"")</f>
        <v/>
      </c>
      <c r="M146" s="204" t="str">
        <f t="shared" si="39"/>
        <v>No Std</v>
      </c>
      <c r="N146" s="204" t="str">
        <f>IFERROR(_xlfn.XLOOKUP($E146,'Product Cost - Price'!$B$5:$B$301,'Product Cost - Price'!$O$5:$O$301),"")</f>
        <v/>
      </c>
      <c r="O146" s="204" t="str">
        <f t="shared" si="40"/>
        <v>No Std</v>
      </c>
      <c r="P146" s="204" t="str">
        <f>IFERROR(_xlfn.XLOOKUP($E146,'Product Cost - Price'!$B$5:$B$301,'Product Cost - Price'!$P$5:$P$301),"")</f>
        <v/>
      </c>
      <c r="Q146" s="204" t="str">
        <f t="shared" si="41"/>
        <v/>
      </c>
      <c r="R146" s="204" t="str">
        <f>IFERROR(_xlfn.XLOOKUP($E146,'Product Cost - Price'!$B$5:$B$301,'Product Cost - Price'!$Q$5:$Q$301),"")</f>
        <v/>
      </c>
      <c r="S146" s="204" t="str">
        <f t="shared" si="42"/>
        <v/>
      </c>
      <c r="U146" s="204" t="str">
        <f t="shared" si="43"/>
        <v/>
      </c>
      <c r="V146" s="276" t="str">
        <f t="shared" si="44"/>
        <v/>
      </c>
    </row>
    <row r="147" spans="1:22" x14ac:dyDescent="0.3">
      <c r="A147" s="207"/>
      <c r="B147" s="208"/>
      <c r="C147" s="274"/>
      <c r="E147" s="202" t="str">
        <f t="shared" si="36"/>
        <v/>
      </c>
      <c r="F147" s="203" t="str">
        <f>IFERROR(_xlfn.XLOOKUP($E147,'Product Cost - Price'!$B$5:$B$301,'Product Cost - Price'!$E$5:$E$301),"")</f>
        <v/>
      </c>
      <c r="G147" s="203" t="str">
        <f>IFERROR(_xlfn.XLOOKUP($E147,'Product Cost - Price'!$B$5:$B$301,'Product Cost - Price'!$G$5:$G$301),"")</f>
        <v/>
      </c>
      <c r="H147" s="204" t="str">
        <f>IFERROR(_xlfn.XLOOKUP($E147,'Product Cost - Price'!$B$5:$B$301,'Product Cost - Price'!$L$5:$L$301),"")</f>
        <v/>
      </c>
      <c r="I147" s="204" t="str">
        <f t="shared" si="37"/>
        <v>No Std</v>
      </c>
      <c r="J147" s="204" t="str">
        <f>IFERROR(_xlfn.XLOOKUP($E147,'Product Cost - Price'!$B$5:$B$301,'Product Cost - Price'!$M$5:$M$301),"")</f>
        <v/>
      </c>
      <c r="K147" s="204" t="str">
        <f t="shared" si="38"/>
        <v>No Std</v>
      </c>
      <c r="L147" s="204" t="str">
        <f>IFERROR(_xlfn.XLOOKUP($E147,'Product Cost - Price'!$B$5:$B$301,'Product Cost - Price'!$N$5:$N$301),"")</f>
        <v/>
      </c>
      <c r="M147" s="204" t="str">
        <f t="shared" si="39"/>
        <v>No Std</v>
      </c>
      <c r="N147" s="204" t="str">
        <f>IFERROR(_xlfn.XLOOKUP($E147,'Product Cost - Price'!$B$5:$B$301,'Product Cost - Price'!$O$5:$O$301),"")</f>
        <v/>
      </c>
      <c r="O147" s="204" t="str">
        <f t="shared" si="40"/>
        <v>No Std</v>
      </c>
      <c r="P147" s="204" t="str">
        <f>IFERROR(_xlfn.XLOOKUP($E147,'Product Cost - Price'!$B$5:$B$301,'Product Cost - Price'!$P$5:$P$301),"")</f>
        <v/>
      </c>
      <c r="Q147" s="204" t="str">
        <f t="shared" si="41"/>
        <v/>
      </c>
      <c r="R147" s="204" t="str">
        <f>IFERROR(_xlfn.XLOOKUP($E147,'Product Cost - Price'!$B$5:$B$301,'Product Cost - Price'!$Q$5:$Q$301),"")</f>
        <v/>
      </c>
      <c r="S147" s="204" t="str">
        <f t="shared" si="42"/>
        <v/>
      </c>
      <c r="U147" s="204" t="str">
        <f t="shared" si="43"/>
        <v/>
      </c>
      <c r="V147" s="276" t="str">
        <f t="shared" si="44"/>
        <v/>
      </c>
    </row>
    <row r="148" spans="1:22" x14ac:dyDescent="0.3">
      <c r="A148" s="207"/>
      <c r="B148" s="208"/>
      <c r="C148" s="274"/>
      <c r="E148" s="202" t="str">
        <f t="shared" si="36"/>
        <v/>
      </c>
      <c r="F148" s="203" t="str">
        <f>IFERROR(_xlfn.XLOOKUP($E148,'Product Cost - Price'!$B$5:$B$301,'Product Cost - Price'!$E$5:$E$301),"")</f>
        <v/>
      </c>
      <c r="G148" s="203" t="str">
        <f>IFERROR(_xlfn.XLOOKUP($E148,'Product Cost - Price'!$B$5:$B$301,'Product Cost - Price'!$G$5:$G$301),"")</f>
        <v/>
      </c>
      <c r="H148" s="204" t="str">
        <f>IFERROR(_xlfn.XLOOKUP($E148,'Product Cost - Price'!$B$5:$B$301,'Product Cost - Price'!$L$5:$L$301),"")</f>
        <v/>
      </c>
      <c r="I148" s="204" t="str">
        <f t="shared" si="37"/>
        <v>No Std</v>
      </c>
      <c r="J148" s="204" t="str">
        <f>IFERROR(_xlfn.XLOOKUP($E148,'Product Cost - Price'!$B$5:$B$301,'Product Cost - Price'!$M$5:$M$301),"")</f>
        <v/>
      </c>
      <c r="K148" s="204" t="str">
        <f t="shared" si="38"/>
        <v>No Std</v>
      </c>
      <c r="L148" s="204" t="str">
        <f>IFERROR(_xlfn.XLOOKUP($E148,'Product Cost - Price'!$B$5:$B$301,'Product Cost - Price'!$N$5:$N$301),"")</f>
        <v/>
      </c>
      <c r="M148" s="204" t="str">
        <f t="shared" si="39"/>
        <v>No Std</v>
      </c>
      <c r="N148" s="204" t="str">
        <f>IFERROR(_xlfn.XLOOKUP($E148,'Product Cost - Price'!$B$5:$B$301,'Product Cost - Price'!$O$5:$O$301),"")</f>
        <v/>
      </c>
      <c r="O148" s="204" t="str">
        <f t="shared" si="40"/>
        <v>No Std</v>
      </c>
      <c r="P148" s="204" t="str">
        <f>IFERROR(_xlfn.XLOOKUP($E148,'Product Cost - Price'!$B$5:$B$301,'Product Cost - Price'!$P$5:$P$301),"")</f>
        <v/>
      </c>
      <c r="Q148" s="204" t="str">
        <f t="shared" si="41"/>
        <v/>
      </c>
      <c r="R148" s="204" t="str">
        <f>IFERROR(_xlfn.XLOOKUP($E148,'Product Cost - Price'!$B$5:$B$301,'Product Cost - Price'!$Q$5:$Q$301),"")</f>
        <v/>
      </c>
      <c r="S148" s="204" t="str">
        <f t="shared" si="42"/>
        <v/>
      </c>
      <c r="U148" s="204" t="str">
        <f t="shared" si="43"/>
        <v/>
      </c>
      <c r="V148" s="276" t="str">
        <f t="shared" si="44"/>
        <v/>
      </c>
    </row>
    <row r="149" spans="1:22" x14ac:dyDescent="0.3">
      <c r="A149" s="207"/>
      <c r="B149" s="208"/>
      <c r="C149" s="274"/>
      <c r="E149" s="202" t="str">
        <f t="shared" si="36"/>
        <v/>
      </c>
      <c r="F149" s="203" t="str">
        <f>IFERROR(_xlfn.XLOOKUP($E149,'Product Cost - Price'!$B$5:$B$301,'Product Cost - Price'!$E$5:$E$301),"")</f>
        <v/>
      </c>
      <c r="G149" s="203" t="str">
        <f>IFERROR(_xlfn.XLOOKUP($E149,'Product Cost - Price'!$B$5:$B$301,'Product Cost - Price'!$G$5:$G$301),"")</f>
        <v/>
      </c>
      <c r="H149" s="204" t="str">
        <f>IFERROR(_xlfn.XLOOKUP($E149,'Product Cost - Price'!$B$5:$B$301,'Product Cost - Price'!$L$5:$L$301),"")</f>
        <v/>
      </c>
      <c r="I149" s="204" t="str">
        <f t="shared" si="37"/>
        <v>No Std</v>
      </c>
      <c r="J149" s="204" t="str">
        <f>IFERROR(_xlfn.XLOOKUP($E149,'Product Cost - Price'!$B$5:$B$301,'Product Cost - Price'!$M$5:$M$301),"")</f>
        <v/>
      </c>
      <c r="K149" s="204" t="str">
        <f t="shared" si="38"/>
        <v>No Std</v>
      </c>
      <c r="L149" s="204" t="str">
        <f>IFERROR(_xlfn.XLOOKUP($E149,'Product Cost - Price'!$B$5:$B$301,'Product Cost - Price'!$N$5:$N$301),"")</f>
        <v/>
      </c>
      <c r="M149" s="204" t="str">
        <f t="shared" si="39"/>
        <v>No Std</v>
      </c>
      <c r="N149" s="204" t="str">
        <f>IFERROR(_xlfn.XLOOKUP($E149,'Product Cost - Price'!$B$5:$B$301,'Product Cost - Price'!$O$5:$O$301),"")</f>
        <v/>
      </c>
      <c r="O149" s="204" t="str">
        <f t="shared" si="40"/>
        <v>No Std</v>
      </c>
      <c r="P149" s="204" t="str">
        <f>IFERROR(_xlfn.XLOOKUP($E149,'Product Cost - Price'!$B$5:$B$301,'Product Cost - Price'!$P$5:$P$301),"")</f>
        <v/>
      </c>
      <c r="Q149" s="204" t="str">
        <f t="shared" si="41"/>
        <v/>
      </c>
      <c r="R149" s="204" t="str">
        <f>IFERROR(_xlfn.XLOOKUP($E149,'Product Cost - Price'!$B$5:$B$301,'Product Cost - Price'!$Q$5:$Q$301),"")</f>
        <v/>
      </c>
      <c r="S149" s="204" t="str">
        <f t="shared" si="42"/>
        <v/>
      </c>
      <c r="U149" s="204" t="str">
        <f t="shared" si="43"/>
        <v/>
      </c>
      <c r="V149" s="276" t="str">
        <f t="shared" si="44"/>
        <v/>
      </c>
    </row>
    <row r="150" spans="1:22" x14ac:dyDescent="0.3">
      <c r="A150" s="207"/>
      <c r="B150" s="208"/>
      <c r="C150" s="274"/>
      <c r="E150" s="202" t="str">
        <f t="shared" si="36"/>
        <v/>
      </c>
      <c r="F150" s="203" t="str">
        <f>IFERROR(_xlfn.XLOOKUP($E150,'Product Cost - Price'!$B$5:$B$301,'Product Cost - Price'!$E$5:$E$301),"")</f>
        <v/>
      </c>
      <c r="G150" s="203" t="str">
        <f>IFERROR(_xlfn.XLOOKUP($E150,'Product Cost - Price'!$B$5:$B$301,'Product Cost - Price'!$G$5:$G$301),"")</f>
        <v/>
      </c>
      <c r="H150" s="204" t="str">
        <f>IFERROR(_xlfn.XLOOKUP($E150,'Product Cost - Price'!$B$5:$B$301,'Product Cost - Price'!$L$5:$L$301),"")</f>
        <v/>
      </c>
      <c r="I150" s="204" t="str">
        <f t="shared" si="37"/>
        <v>No Std</v>
      </c>
      <c r="J150" s="204" t="str">
        <f>IFERROR(_xlfn.XLOOKUP($E150,'Product Cost - Price'!$B$5:$B$301,'Product Cost - Price'!$M$5:$M$301),"")</f>
        <v/>
      </c>
      <c r="K150" s="204" t="str">
        <f t="shared" si="38"/>
        <v>No Std</v>
      </c>
      <c r="L150" s="204" t="str">
        <f>IFERROR(_xlfn.XLOOKUP($E150,'Product Cost - Price'!$B$5:$B$301,'Product Cost - Price'!$N$5:$N$301),"")</f>
        <v/>
      </c>
      <c r="M150" s="204" t="str">
        <f t="shared" si="39"/>
        <v>No Std</v>
      </c>
      <c r="N150" s="204" t="str">
        <f>IFERROR(_xlfn.XLOOKUP($E150,'Product Cost - Price'!$B$5:$B$301,'Product Cost - Price'!$O$5:$O$301),"")</f>
        <v/>
      </c>
      <c r="O150" s="204" t="str">
        <f t="shared" si="40"/>
        <v>No Std</v>
      </c>
      <c r="P150" s="204" t="str">
        <f>IFERROR(_xlfn.XLOOKUP($E150,'Product Cost - Price'!$B$5:$B$301,'Product Cost - Price'!$P$5:$P$301),"")</f>
        <v/>
      </c>
      <c r="Q150" s="204" t="str">
        <f t="shared" si="41"/>
        <v/>
      </c>
      <c r="R150" s="204" t="str">
        <f>IFERROR(_xlfn.XLOOKUP($E150,'Product Cost - Price'!$B$5:$B$301,'Product Cost - Price'!$Q$5:$Q$301),"")</f>
        <v/>
      </c>
      <c r="S150" s="204" t="str">
        <f t="shared" si="42"/>
        <v/>
      </c>
      <c r="U150" s="204" t="str">
        <f t="shared" si="43"/>
        <v/>
      </c>
      <c r="V150" s="276" t="str">
        <f t="shared" si="44"/>
        <v/>
      </c>
    </row>
    <row r="151" spans="1:22" x14ac:dyDescent="0.3">
      <c r="A151" s="207"/>
      <c r="B151" s="208"/>
      <c r="C151" s="274"/>
      <c r="E151" s="202" t="str">
        <f t="shared" si="36"/>
        <v/>
      </c>
      <c r="F151" s="203" t="str">
        <f>IFERROR(_xlfn.XLOOKUP($E151,'Product Cost - Price'!$B$5:$B$301,'Product Cost - Price'!$E$5:$E$301),"")</f>
        <v/>
      </c>
      <c r="G151" s="203" t="str">
        <f>IFERROR(_xlfn.XLOOKUP($E151,'Product Cost - Price'!$B$5:$B$301,'Product Cost - Price'!$G$5:$G$301),"")</f>
        <v/>
      </c>
      <c r="H151" s="204" t="str">
        <f>IFERROR(_xlfn.XLOOKUP($E151,'Product Cost - Price'!$B$5:$B$301,'Product Cost - Price'!$L$5:$L$301),"")</f>
        <v/>
      </c>
      <c r="I151" s="204" t="str">
        <f t="shared" si="37"/>
        <v>No Std</v>
      </c>
      <c r="J151" s="204" t="str">
        <f>IFERROR(_xlfn.XLOOKUP($E151,'Product Cost - Price'!$B$5:$B$301,'Product Cost - Price'!$M$5:$M$301),"")</f>
        <v/>
      </c>
      <c r="K151" s="204" t="str">
        <f t="shared" si="38"/>
        <v>No Std</v>
      </c>
      <c r="L151" s="204" t="str">
        <f>IFERROR(_xlfn.XLOOKUP($E151,'Product Cost - Price'!$B$5:$B$301,'Product Cost - Price'!$N$5:$N$301),"")</f>
        <v/>
      </c>
      <c r="M151" s="204" t="str">
        <f t="shared" si="39"/>
        <v>No Std</v>
      </c>
      <c r="N151" s="204" t="str">
        <f>IFERROR(_xlfn.XLOOKUP($E151,'Product Cost - Price'!$B$5:$B$301,'Product Cost - Price'!$O$5:$O$301),"")</f>
        <v/>
      </c>
      <c r="O151" s="204" t="str">
        <f t="shared" si="40"/>
        <v>No Std</v>
      </c>
      <c r="P151" s="204" t="str">
        <f>IFERROR(_xlfn.XLOOKUP($E151,'Product Cost - Price'!$B$5:$B$301,'Product Cost - Price'!$P$5:$P$301),"")</f>
        <v/>
      </c>
      <c r="Q151" s="204" t="str">
        <f t="shared" si="41"/>
        <v/>
      </c>
      <c r="R151" s="204" t="str">
        <f>IFERROR(_xlfn.XLOOKUP($E151,'Product Cost - Price'!$B$5:$B$301,'Product Cost - Price'!$Q$5:$Q$301),"")</f>
        <v/>
      </c>
      <c r="S151" s="204" t="str">
        <f t="shared" si="42"/>
        <v/>
      </c>
      <c r="U151" s="204" t="str">
        <f t="shared" si="43"/>
        <v/>
      </c>
      <c r="V151" s="276" t="str">
        <f t="shared" si="44"/>
        <v/>
      </c>
    </row>
    <row r="152" spans="1:22" x14ac:dyDescent="0.3">
      <c r="A152" s="207"/>
      <c r="B152" s="208"/>
      <c r="C152" s="274"/>
      <c r="E152" s="202" t="str">
        <f t="shared" si="36"/>
        <v/>
      </c>
      <c r="F152" s="203" t="str">
        <f>IFERROR(_xlfn.XLOOKUP($E152,'Product Cost - Price'!$B$5:$B$301,'Product Cost - Price'!$E$5:$E$301),"")</f>
        <v/>
      </c>
      <c r="G152" s="203" t="str">
        <f>IFERROR(_xlfn.XLOOKUP($E152,'Product Cost - Price'!$B$5:$B$301,'Product Cost - Price'!$G$5:$G$301),"")</f>
        <v/>
      </c>
      <c r="H152" s="204" t="str">
        <f>IFERROR(_xlfn.XLOOKUP($E152,'Product Cost - Price'!$B$5:$B$301,'Product Cost - Price'!$L$5:$L$301),"")</f>
        <v/>
      </c>
      <c r="I152" s="204" t="str">
        <f t="shared" si="37"/>
        <v>No Std</v>
      </c>
      <c r="J152" s="204" t="str">
        <f>IFERROR(_xlfn.XLOOKUP($E152,'Product Cost - Price'!$B$5:$B$301,'Product Cost - Price'!$M$5:$M$301),"")</f>
        <v/>
      </c>
      <c r="K152" s="204" t="str">
        <f t="shared" si="38"/>
        <v>No Std</v>
      </c>
      <c r="L152" s="204" t="str">
        <f>IFERROR(_xlfn.XLOOKUP($E152,'Product Cost - Price'!$B$5:$B$301,'Product Cost - Price'!$N$5:$N$301),"")</f>
        <v/>
      </c>
      <c r="M152" s="204" t="str">
        <f t="shared" si="39"/>
        <v>No Std</v>
      </c>
      <c r="N152" s="204" t="str">
        <f>IFERROR(_xlfn.XLOOKUP($E152,'Product Cost - Price'!$B$5:$B$301,'Product Cost - Price'!$O$5:$O$301),"")</f>
        <v/>
      </c>
      <c r="O152" s="204" t="str">
        <f t="shared" si="40"/>
        <v>No Std</v>
      </c>
      <c r="P152" s="204" t="str">
        <f>IFERROR(_xlfn.XLOOKUP($E152,'Product Cost - Price'!$B$5:$B$301,'Product Cost - Price'!$P$5:$P$301),"")</f>
        <v/>
      </c>
      <c r="Q152" s="204" t="str">
        <f t="shared" si="41"/>
        <v/>
      </c>
      <c r="R152" s="204" t="str">
        <f>IFERROR(_xlfn.XLOOKUP($E152,'Product Cost - Price'!$B$5:$B$301,'Product Cost - Price'!$Q$5:$Q$301),"")</f>
        <v/>
      </c>
      <c r="S152" s="204" t="str">
        <f t="shared" si="42"/>
        <v/>
      </c>
      <c r="U152" s="204" t="str">
        <f t="shared" si="43"/>
        <v/>
      </c>
      <c r="V152" s="276" t="str">
        <f t="shared" si="44"/>
        <v/>
      </c>
    </row>
    <row r="153" spans="1:22" x14ac:dyDescent="0.3">
      <c r="A153" s="207"/>
      <c r="B153" s="208"/>
      <c r="C153" s="274"/>
      <c r="E153" s="202" t="str">
        <f t="shared" si="36"/>
        <v/>
      </c>
      <c r="F153" s="203" t="str">
        <f>IFERROR(_xlfn.XLOOKUP($E153,'Product Cost - Price'!$B$5:$B$301,'Product Cost - Price'!$E$5:$E$301),"")</f>
        <v/>
      </c>
      <c r="G153" s="203" t="str">
        <f>IFERROR(_xlfn.XLOOKUP($E153,'Product Cost - Price'!$B$5:$B$301,'Product Cost - Price'!$G$5:$G$301),"")</f>
        <v/>
      </c>
      <c r="H153" s="204" t="str">
        <f>IFERROR(_xlfn.XLOOKUP($E153,'Product Cost - Price'!$B$5:$B$301,'Product Cost - Price'!$L$5:$L$301),"")</f>
        <v/>
      </c>
      <c r="I153" s="204" t="str">
        <f t="shared" si="37"/>
        <v>No Std</v>
      </c>
      <c r="J153" s="204" t="str">
        <f>IFERROR(_xlfn.XLOOKUP($E153,'Product Cost - Price'!$B$5:$B$301,'Product Cost - Price'!$M$5:$M$301),"")</f>
        <v/>
      </c>
      <c r="K153" s="204" t="str">
        <f t="shared" si="38"/>
        <v>No Std</v>
      </c>
      <c r="L153" s="204" t="str">
        <f>IFERROR(_xlfn.XLOOKUP($E153,'Product Cost - Price'!$B$5:$B$301,'Product Cost - Price'!$N$5:$N$301),"")</f>
        <v/>
      </c>
      <c r="M153" s="204" t="str">
        <f t="shared" si="39"/>
        <v>No Std</v>
      </c>
      <c r="N153" s="204" t="str">
        <f>IFERROR(_xlfn.XLOOKUP($E153,'Product Cost - Price'!$B$5:$B$301,'Product Cost - Price'!$O$5:$O$301),"")</f>
        <v/>
      </c>
      <c r="O153" s="204" t="str">
        <f t="shared" si="40"/>
        <v>No Std</v>
      </c>
      <c r="P153" s="204" t="str">
        <f>IFERROR(_xlfn.XLOOKUP($E153,'Product Cost - Price'!$B$5:$B$301,'Product Cost - Price'!$P$5:$P$301),"")</f>
        <v/>
      </c>
      <c r="Q153" s="204" t="str">
        <f t="shared" si="41"/>
        <v/>
      </c>
      <c r="R153" s="204" t="str">
        <f>IFERROR(_xlfn.XLOOKUP($E153,'Product Cost - Price'!$B$5:$B$301,'Product Cost - Price'!$Q$5:$Q$301),"")</f>
        <v/>
      </c>
      <c r="S153" s="204" t="str">
        <f t="shared" si="42"/>
        <v/>
      </c>
      <c r="U153" s="204" t="str">
        <f t="shared" si="43"/>
        <v/>
      </c>
      <c r="V153" s="276" t="str">
        <f t="shared" si="44"/>
        <v/>
      </c>
    </row>
    <row r="154" spans="1:22" x14ac:dyDescent="0.3">
      <c r="A154" s="207"/>
      <c r="B154" s="208"/>
      <c r="C154" s="274"/>
      <c r="E154" s="202" t="str">
        <f t="shared" si="36"/>
        <v/>
      </c>
      <c r="F154" s="203" t="str">
        <f>IFERROR(_xlfn.XLOOKUP($E154,'Product Cost - Price'!$B$5:$B$301,'Product Cost - Price'!$E$5:$E$301),"")</f>
        <v/>
      </c>
      <c r="G154" s="203" t="str">
        <f>IFERROR(_xlfn.XLOOKUP($E154,'Product Cost - Price'!$B$5:$B$301,'Product Cost - Price'!$G$5:$G$301),"")</f>
        <v/>
      </c>
      <c r="H154" s="204" t="str">
        <f>IFERROR(_xlfn.XLOOKUP($E154,'Product Cost - Price'!$B$5:$B$301,'Product Cost - Price'!$L$5:$L$301),"")</f>
        <v/>
      </c>
      <c r="I154" s="204" t="str">
        <f t="shared" si="37"/>
        <v>No Std</v>
      </c>
      <c r="J154" s="204" t="str">
        <f>IFERROR(_xlfn.XLOOKUP($E154,'Product Cost - Price'!$B$5:$B$301,'Product Cost - Price'!$M$5:$M$301),"")</f>
        <v/>
      </c>
      <c r="K154" s="204" t="str">
        <f t="shared" si="38"/>
        <v>No Std</v>
      </c>
      <c r="L154" s="204" t="str">
        <f>IFERROR(_xlfn.XLOOKUP($E154,'Product Cost - Price'!$B$5:$B$301,'Product Cost - Price'!$N$5:$N$301),"")</f>
        <v/>
      </c>
      <c r="M154" s="204" t="str">
        <f t="shared" si="39"/>
        <v>No Std</v>
      </c>
      <c r="N154" s="204" t="str">
        <f>IFERROR(_xlfn.XLOOKUP($E154,'Product Cost - Price'!$B$5:$B$301,'Product Cost - Price'!$O$5:$O$301),"")</f>
        <v/>
      </c>
      <c r="O154" s="204" t="str">
        <f t="shared" si="40"/>
        <v>No Std</v>
      </c>
      <c r="P154" s="204" t="str">
        <f>IFERROR(_xlfn.XLOOKUP($E154,'Product Cost - Price'!$B$5:$B$301,'Product Cost - Price'!$P$5:$P$301),"")</f>
        <v/>
      </c>
      <c r="Q154" s="204" t="str">
        <f t="shared" si="41"/>
        <v/>
      </c>
      <c r="R154" s="204" t="str">
        <f>IFERROR(_xlfn.XLOOKUP($E154,'Product Cost - Price'!$B$5:$B$301,'Product Cost - Price'!$Q$5:$Q$301),"")</f>
        <v/>
      </c>
      <c r="S154" s="204" t="str">
        <f t="shared" si="42"/>
        <v/>
      </c>
      <c r="U154" s="204" t="str">
        <f t="shared" si="43"/>
        <v/>
      </c>
      <c r="V154" s="276" t="str">
        <f t="shared" si="44"/>
        <v/>
      </c>
    </row>
    <row r="155" spans="1:22" x14ac:dyDescent="0.3">
      <c r="A155" s="207"/>
      <c r="B155" s="208"/>
      <c r="C155" s="274"/>
      <c r="E155" s="202" t="str">
        <f t="shared" si="36"/>
        <v/>
      </c>
      <c r="F155" s="203" t="str">
        <f>IFERROR(_xlfn.XLOOKUP($E155,'Product Cost - Price'!$B$5:$B$301,'Product Cost - Price'!$E$5:$E$301),"")</f>
        <v/>
      </c>
      <c r="G155" s="203" t="str">
        <f>IFERROR(_xlfn.XLOOKUP($E155,'Product Cost - Price'!$B$5:$B$301,'Product Cost - Price'!$G$5:$G$301),"")</f>
        <v/>
      </c>
      <c r="H155" s="204" t="str">
        <f>IFERROR(_xlfn.XLOOKUP($E155,'Product Cost - Price'!$B$5:$B$301,'Product Cost - Price'!$L$5:$L$301),"")</f>
        <v/>
      </c>
      <c r="I155" s="204" t="str">
        <f t="shared" si="37"/>
        <v>No Std</v>
      </c>
      <c r="J155" s="204" t="str">
        <f>IFERROR(_xlfn.XLOOKUP($E155,'Product Cost - Price'!$B$5:$B$301,'Product Cost - Price'!$M$5:$M$301),"")</f>
        <v/>
      </c>
      <c r="K155" s="204" t="str">
        <f t="shared" si="38"/>
        <v>No Std</v>
      </c>
      <c r="L155" s="204" t="str">
        <f>IFERROR(_xlfn.XLOOKUP($E155,'Product Cost - Price'!$B$5:$B$301,'Product Cost - Price'!$N$5:$N$301),"")</f>
        <v/>
      </c>
      <c r="M155" s="204" t="str">
        <f t="shared" si="39"/>
        <v>No Std</v>
      </c>
      <c r="N155" s="204" t="str">
        <f>IFERROR(_xlfn.XLOOKUP($E155,'Product Cost - Price'!$B$5:$B$301,'Product Cost - Price'!$O$5:$O$301),"")</f>
        <v/>
      </c>
      <c r="O155" s="204" t="str">
        <f t="shared" si="40"/>
        <v>No Std</v>
      </c>
      <c r="P155" s="204" t="str">
        <f>IFERROR(_xlfn.XLOOKUP($E155,'Product Cost - Price'!$B$5:$B$301,'Product Cost - Price'!$P$5:$P$301),"")</f>
        <v/>
      </c>
      <c r="Q155" s="204" t="str">
        <f t="shared" si="41"/>
        <v/>
      </c>
      <c r="R155" s="204" t="str">
        <f>IFERROR(_xlfn.XLOOKUP($E155,'Product Cost - Price'!$B$5:$B$301,'Product Cost - Price'!$Q$5:$Q$301),"")</f>
        <v/>
      </c>
      <c r="S155" s="204" t="str">
        <f t="shared" si="42"/>
        <v/>
      </c>
      <c r="U155" s="204" t="str">
        <f t="shared" si="43"/>
        <v/>
      </c>
      <c r="V155" s="276" t="str">
        <f t="shared" si="44"/>
        <v/>
      </c>
    </row>
    <row r="156" spans="1:22" x14ac:dyDescent="0.3">
      <c r="A156" s="207"/>
      <c r="B156" s="208"/>
      <c r="C156" s="274"/>
      <c r="E156" s="202" t="str">
        <f t="shared" si="36"/>
        <v/>
      </c>
      <c r="F156" s="203" t="str">
        <f>IFERROR(_xlfn.XLOOKUP($E156,'Product Cost - Price'!$B$5:$B$301,'Product Cost - Price'!$E$5:$E$301),"")</f>
        <v/>
      </c>
      <c r="G156" s="203" t="str">
        <f>IFERROR(_xlfn.XLOOKUP($E156,'Product Cost - Price'!$B$5:$B$301,'Product Cost - Price'!$G$5:$G$301),"")</f>
        <v/>
      </c>
      <c r="H156" s="204" t="str">
        <f>IFERROR(_xlfn.XLOOKUP($E156,'Product Cost - Price'!$B$5:$B$301,'Product Cost - Price'!$L$5:$L$301),"")</f>
        <v/>
      </c>
      <c r="I156" s="204" t="str">
        <f t="shared" si="37"/>
        <v>No Std</v>
      </c>
      <c r="J156" s="204" t="str">
        <f>IFERROR(_xlfn.XLOOKUP($E156,'Product Cost - Price'!$B$5:$B$301,'Product Cost - Price'!$M$5:$M$301),"")</f>
        <v/>
      </c>
      <c r="K156" s="204" t="str">
        <f t="shared" si="38"/>
        <v>No Std</v>
      </c>
      <c r="L156" s="204" t="str">
        <f>IFERROR(_xlfn.XLOOKUP($E156,'Product Cost - Price'!$B$5:$B$301,'Product Cost - Price'!$N$5:$N$301),"")</f>
        <v/>
      </c>
      <c r="M156" s="204" t="str">
        <f t="shared" si="39"/>
        <v>No Std</v>
      </c>
      <c r="N156" s="204" t="str">
        <f>IFERROR(_xlfn.XLOOKUP($E156,'Product Cost - Price'!$B$5:$B$301,'Product Cost - Price'!$O$5:$O$301),"")</f>
        <v/>
      </c>
      <c r="O156" s="204" t="str">
        <f t="shared" si="40"/>
        <v>No Std</v>
      </c>
      <c r="P156" s="204" t="str">
        <f>IFERROR(_xlfn.XLOOKUP($E156,'Product Cost - Price'!$B$5:$B$301,'Product Cost - Price'!$P$5:$P$301),"")</f>
        <v/>
      </c>
      <c r="Q156" s="204" t="str">
        <f t="shared" si="41"/>
        <v/>
      </c>
      <c r="R156" s="204" t="str">
        <f>IFERROR(_xlfn.XLOOKUP($E156,'Product Cost - Price'!$B$5:$B$301,'Product Cost - Price'!$Q$5:$Q$301),"")</f>
        <v/>
      </c>
      <c r="S156" s="204" t="str">
        <f t="shared" si="42"/>
        <v/>
      </c>
      <c r="U156" s="204" t="str">
        <f t="shared" si="43"/>
        <v/>
      </c>
      <c r="V156" s="276" t="str">
        <f t="shared" si="44"/>
        <v/>
      </c>
    </row>
    <row r="157" spans="1:22" x14ac:dyDescent="0.3">
      <c r="A157" s="207"/>
      <c r="B157" s="208"/>
      <c r="C157" s="274"/>
      <c r="E157" s="202" t="str">
        <f t="shared" si="36"/>
        <v/>
      </c>
      <c r="F157" s="203" t="str">
        <f>IFERROR(_xlfn.XLOOKUP($E157,'Product Cost - Price'!$B$5:$B$301,'Product Cost - Price'!$E$5:$E$301),"")</f>
        <v/>
      </c>
      <c r="G157" s="203" t="str">
        <f>IFERROR(_xlfn.XLOOKUP($E157,'Product Cost - Price'!$B$5:$B$301,'Product Cost - Price'!$G$5:$G$301),"")</f>
        <v/>
      </c>
      <c r="H157" s="204" t="str">
        <f>IFERROR(_xlfn.XLOOKUP($E157,'Product Cost - Price'!$B$5:$B$301,'Product Cost - Price'!$L$5:$L$301),"")</f>
        <v/>
      </c>
      <c r="I157" s="204" t="str">
        <f t="shared" si="37"/>
        <v>No Std</v>
      </c>
      <c r="J157" s="204" t="str">
        <f>IFERROR(_xlfn.XLOOKUP($E157,'Product Cost - Price'!$B$5:$B$301,'Product Cost - Price'!$M$5:$M$301),"")</f>
        <v/>
      </c>
      <c r="K157" s="204" t="str">
        <f t="shared" si="38"/>
        <v>No Std</v>
      </c>
      <c r="L157" s="204" t="str">
        <f>IFERROR(_xlfn.XLOOKUP($E157,'Product Cost - Price'!$B$5:$B$301,'Product Cost - Price'!$N$5:$N$301),"")</f>
        <v/>
      </c>
      <c r="M157" s="204" t="str">
        <f t="shared" si="39"/>
        <v>No Std</v>
      </c>
      <c r="N157" s="204" t="str">
        <f>IFERROR(_xlfn.XLOOKUP($E157,'Product Cost - Price'!$B$5:$B$301,'Product Cost - Price'!$O$5:$O$301),"")</f>
        <v/>
      </c>
      <c r="O157" s="204" t="str">
        <f t="shared" si="40"/>
        <v>No Std</v>
      </c>
      <c r="P157" s="204" t="str">
        <f>IFERROR(_xlfn.XLOOKUP($E157,'Product Cost - Price'!$B$5:$B$301,'Product Cost - Price'!$P$5:$P$301),"")</f>
        <v/>
      </c>
      <c r="Q157" s="204" t="str">
        <f t="shared" si="41"/>
        <v/>
      </c>
      <c r="R157" s="204" t="str">
        <f>IFERROR(_xlfn.XLOOKUP($E157,'Product Cost - Price'!$B$5:$B$301,'Product Cost - Price'!$Q$5:$Q$301),"")</f>
        <v/>
      </c>
      <c r="S157" s="204" t="str">
        <f t="shared" si="42"/>
        <v/>
      </c>
      <c r="U157" s="204" t="str">
        <f t="shared" si="43"/>
        <v/>
      </c>
      <c r="V157" s="276" t="str">
        <f t="shared" si="44"/>
        <v/>
      </c>
    </row>
    <row r="158" spans="1:22" x14ac:dyDescent="0.3">
      <c r="A158" s="207"/>
      <c r="B158" s="208"/>
      <c r="C158" s="274"/>
      <c r="E158" s="202" t="str">
        <f t="shared" si="36"/>
        <v/>
      </c>
      <c r="F158" s="203" t="str">
        <f>IFERROR(_xlfn.XLOOKUP($E158,'Product Cost - Price'!$B$5:$B$301,'Product Cost - Price'!$E$5:$E$301),"")</f>
        <v/>
      </c>
      <c r="G158" s="203" t="str">
        <f>IFERROR(_xlfn.XLOOKUP($E158,'Product Cost - Price'!$B$5:$B$301,'Product Cost - Price'!$G$5:$G$301),"")</f>
        <v/>
      </c>
      <c r="H158" s="204" t="str">
        <f>IFERROR(_xlfn.XLOOKUP($E158,'Product Cost - Price'!$B$5:$B$301,'Product Cost - Price'!$L$5:$L$301),"")</f>
        <v/>
      </c>
      <c r="I158" s="204" t="str">
        <f t="shared" si="37"/>
        <v>No Std</v>
      </c>
      <c r="J158" s="204" t="str">
        <f>IFERROR(_xlfn.XLOOKUP($E158,'Product Cost - Price'!$B$5:$B$301,'Product Cost - Price'!$M$5:$M$301),"")</f>
        <v/>
      </c>
      <c r="K158" s="204" t="str">
        <f t="shared" si="38"/>
        <v>No Std</v>
      </c>
      <c r="L158" s="204" t="str">
        <f>IFERROR(_xlfn.XLOOKUP($E158,'Product Cost - Price'!$B$5:$B$301,'Product Cost - Price'!$N$5:$N$301),"")</f>
        <v/>
      </c>
      <c r="M158" s="204" t="str">
        <f t="shared" si="39"/>
        <v>No Std</v>
      </c>
      <c r="N158" s="204" t="str">
        <f>IFERROR(_xlfn.XLOOKUP($E158,'Product Cost - Price'!$B$5:$B$301,'Product Cost - Price'!$O$5:$O$301),"")</f>
        <v/>
      </c>
      <c r="O158" s="204" t="str">
        <f t="shared" si="40"/>
        <v>No Std</v>
      </c>
      <c r="P158" s="204" t="str">
        <f>IFERROR(_xlfn.XLOOKUP($E158,'Product Cost - Price'!$B$5:$B$301,'Product Cost - Price'!$P$5:$P$301),"")</f>
        <v/>
      </c>
      <c r="Q158" s="204" t="str">
        <f t="shared" si="41"/>
        <v/>
      </c>
      <c r="R158" s="204" t="str">
        <f>IFERROR(_xlfn.XLOOKUP($E158,'Product Cost - Price'!$B$5:$B$301,'Product Cost - Price'!$Q$5:$Q$301),"")</f>
        <v/>
      </c>
      <c r="S158" s="204" t="str">
        <f t="shared" si="42"/>
        <v/>
      </c>
      <c r="U158" s="204" t="str">
        <f t="shared" si="43"/>
        <v/>
      </c>
      <c r="V158" s="276" t="str">
        <f t="shared" si="44"/>
        <v/>
      </c>
    </row>
    <row r="159" spans="1:22" x14ac:dyDescent="0.3">
      <c r="A159" s="207"/>
      <c r="B159" s="208"/>
      <c r="C159" s="274"/>
      <c r="E159" s="202" t="str">
        <f t="shared" si="36"/>
        <v/>
      </c>
      <c r="F159" s="203" t="str">
        <f>IFERROR(_xlfn.XLOOKUP($E159,'Product Cost - Price'!$B$5:$B$301,'Product Cost - Price'!$E$5:$E$301),"")</f>
        <v/>
      </c>
      <c r="G159" s="203" t="str">
        <f>IFERROR(_xlfn.XLOOKUP($E159,'Product Cost - Price'!$B$5:$B$301,'Product Cost - Price'!$G$5:$G$301),"")</f>
        <v/>
      </c>
      <c r="H159" s="204" t="str">
        <f>IFERROR(_xlfn.XLOOKUP($E159,'Product Cost - Price'!$B$5:$B$301,'Product Cost - Price'!$L$5:$L$301),"")</f>
        <v/>
      </c>
      <c r="I159" s="204" t="str">
        <f t="shared" si="37"/>
        <v>No Std</v>
      </c>
      <c r="J159" s="204" t="str">
        <f>IFERROR(_xlfn.XLOOKUP($E159,'Product Cost - Price'!$B$5:$B$301,'Product Cost - Price'!$M$5:$M$301),"")</f>
        <v/>
      </c>
      <c r="K159" s="204" t="str">
        <f t="shared" si="38"/>
        <v>No Std</v>
      </c>
      <c r="L159" s="204" t="str">
        <f>IFERROR(_xlfn.XLOOKUP($E159,'Product Cost - Price'!$B$5:$B$301,'Product Cost - Price'!$N$5:$N$301),"")</f>
        <v/>
      </c>
      <c r="M159" s="204" t="str">
        <f t="shared" si="39"/>
        <v>No Std</v>
      </c>
      <c r="N159" s="204" t="str">
        <f>IFERROR(_xlfn.XLOOKUP($E159,'Product Cost - Price'!$B$5:$B$301,'Product Cost - Price'!$O$5:$O$301),"")</f>
        <v/>
      </c>
      <c r="O159" s="204" t="str">
        <f t="shared" si="40"/>
        <v>No Std</v>
      </c>
      <c r="P159" s="204" t="str">
        <f>IFERROR(_xlfn.XLOOKUP($E159,'Product Cost - Price'!$B$5:$B$301,'Product Cost - Price'!$P$5:$P$301),"")</f>
        <v/>
      </c>
      <c r="Q159" s="204" t="str">
        <f t="shared" si="41"/>
        <v/>
      </c>
      <c r="R159" s="204" t="str">
        <f>IFERROR(_xlfn.XLOOKUP($E159,'Product Cost - Price'!$B$5:$B$301,'Product Cost - Price'!$Q$5:$Q$301),"")</f>
        <v/>
      </c>
      <c r="S159" s="204" t="str">
        <f t="shared" si="42"/>
        <v/>
      </c>
      <c r="U159" s="204" t="str">
        <f t="shared" si="43"/>
        <v/>
      </c>
      <c r="V159" s="276" t="str">
        <f t="shared" si="44"/>
        <v/>
      </c>
    </row>
    <row r="160" spans="1:22" x14ac:dyDescent="0.3">
      <c r="A160" s="207"/>
      <c r="B160" s="208"/>
      <c r="C160" s="274"/>
      <c r="E160" s="202" t="str">
        <f t="shared" si="36"/>
        <v/>
      </c>
      <c r="F160" s="203" t="str">
        <f>IFERROR(_xlfn.XLOOKUP($E160,'Product Cost - Price'!$B$5:$B$301,'Product Cost - Price'!$E$5:$E$301),"")</f>
        <v/>
      </c>
      <c r="G160" s="203" t="str">
        <f>IFERROR(_xlfn.XLOOKUP($E160,'Product Cost - Price'!$B$5:$B$301,'Product Cost - Price'!$G$5:$G$301),"")</f>
        <v/>
      </c>
      <c r="H160" s="204" t="str">
        <f>IFERROR(_xlfn.XLOOKUP($E160,'Product Cost - Price'!$B$5:$B$301,'Product Cost - Price'!$L$5:$L$301),"")</f>
        <v/>
      </c>
      <c r="I160" s="204" t="str">
        <f t="shared" si="37"/>
        <v>No Std</v>
      </c>
      <c r="J160" s="204" t="str">
        <f>IFERROR(_xlfn.XLOOKUP($E160,'Product Cost - Price'!$B$5:$B$301,'Product Cost - Price'!$M$5:$M$301),"")</f>
        <v/>
      </c>
      <c r="K160" s="204" t="str">
        <f t="shared" si="38"/>
        <v>No Std</v>
      </c>
      <c r="L160" s="204" t="str">
        <f>IFERROR(_xlfn.XLOOKUP($E160,'Product Cost - Price'!$B$5:$B$301,'Product Cost - Price'!$N$5:$N$301),"")</f>
        <v/>
      </c>
      <c r="M160" s="204" t="str">
        <f t="shared" si="39"/>
        <v>No Std</v>
      </c>
      <c r="N160" s="204" t="str">
        <f>IFERROR(_xlfn.XLOOKUP($E160,'Product Cost - Price'!$B$5:$B$301,'Product Cost - Price'!$O$5:$O$301),"")</f>
        <v/>
      </c>
      <c r="O160" s="204" t="str">
        <f t="shared" si="40"/>
        <v>No Std</v>
      </c>
      <c r="P160" s="204" t="str">
        <f>IFERROR(_xlfn.XLOOKUP($E160,'Product Cost - Price'!$B$5:$B$301,'Product Cost - Price'!$P$5:$P$301),"")</f>
        <v/>
      </c>
      <c r="Q160" s="204" t="str">
        <f t="shared" si="41"/>
        <v/>
      </c>
      <c r="R160" s="204" t="str">
        <f>IFERROR(_xlfn.XLOOKUP($E160,'Product Cost - Price'!$B$5:$B$301,'Product Cost - Price'!$Q$5:$Q$301),"")</f>
        <v/>
      </c>
      <c r="S160" s="204" t="str">
        <f t="shared" si="42"/>
        <v/>
      </c>
      <c r="U160" s="204" t="str">
        <f t="shared" si="43"/>
        <v/>
      </c>
      <c r="V160" s="276" t="str">
        <f t="shared" si="44"/>
        <v/>
      </c>
    </row>
    <row r="161" spans="1:22" x14ac:dyDescent="0.3">
      <c r="A161" s="207"/>
      <c r="B161" s="208"/>
      <c r="C161" s="274"/>
      <c r="E161" s="202" t="str">
        <f t="shared" si="36"/>
        <v/>
      </c>
      <c r="F161" s="203" t="str">
        <f>IFERROR(_xlfn.XLOOKUP($E161,'Product Cost - Price'!$B$5:$B$301,'Product Cost - Price'!$E$5:$E$301),"")</f>
        <v/>
      </c>
      <c r="G161" s="203" t="str">
        <f>IFERROR(_xlfn.XLOOKUP($E161,'Product Cost - Price'!$B$5:$B$301,'Product Cost - Price'!$G$5:$G$301),"")</f>
        <v/>
      </c>
      <c r="H161" s="204" t="str">
        <f>IFERROR(_xlfn.XLOOKUP($E161,'Product Cost - Price'!$B$5:$B$301,'Product Cost - Price'!$L$5:$L$301),"")</f>
        <v/>
      </c>
      <c r="I161" s="204" t="str">
        <f t="shared" si="37"/>
        <v>No Std</v>
      </c>
      <c r="J161" s="204" t="str">
        <f>IFERROR(_xlfn.XLOOKUP($E161,'Product Cost - Price'!$B$5:$B$301,'Product Cost - Price'!$M$5:$M$301),"")</f>
        <v/>
      </c>
      <c r="K161" s="204" t="str">
        <f t="shared" si="38"/>
        <v>No Std</v>
      </c>
      <c r="L161" s="204" t="str">
        <f>IFERROR(_xlfn.XLOOKUP($E161,'Product Cost - Price'!$B$5:$B$301,'Product Cost - Price'!$N$5:$N$301),"")</f>
        <v/>
      </c>
      <c r="M161" s="204" t="str">
        <f t="shared" si="39"/>
        <v>No Std</v>
      </c>
      <c r="N161" s="204" t="str">
        <f>IFERROR(_xlfn.XLOOKUP($E161,'Product Cost - Price'!$B$5:$B$301,'Product Cost - Price'!$O$5:$O$301),"")</f>
        <v/>
      </c>
      <c r="O161" s="204" t="str">
        <f t="shared" si="40"/>
        <v>No Std</v>
      </c>
      <c r="P161" s="204" t="str">
        <f>IFERROR(_xlfn.XLOOKUP($E161,'Product Cost - Price'!$B$5:$B$301,'Product Cost - Price'!$P$5:$P$301),"")</f>
        <v/>
      </c>
      <c r="Q161" s="204" t="str">
        <f t="shared" si="41"/>
        <v/>
      </c>
      <c r="R161" s="204" t="str">
        <f>IFERROR(_xlfn.XLOOKUP($E161,'Product Cost - Price'!$B$5:$B$301,'Product Cost - Price'!$Q$5:$Q$301),"")</f>
        <v/>
      </c>
      <c r="S161" s="204" t="str">
        <f t="shared" si="42"/>
        <v/>
      </c>
      <c r="U161" s="204" t="str">
        <f t="shared" si="43"/>
        <v/>
      </c>
      <c r="V161" s="276" t="str">
        <f t="shared" si="44"/>
        <v/>
      </c>
    </row>
    <row r="162" spans="1:22" x14ac:dyDescent="0.3">
      <c r="A162" s="207"/>
      <c r="B162" s="208"/>
      <c r="C162" s="274"/>
      <c r="E162" s="202" t="str">
        <f t="shared" si="36"/>
        <v/>
      </c>
      <c r="F162" s="203" t="str">
        <f>IFERROR(_xlfn.XLOOKUP($E162,'Product Cost - Price'!$B$5:$B$301,'Product Cost - Price'!$E$5:$E$301),"")</f>
        <v/>
      </c>
      <c r="G162" s="203" t="str">
        <f>IFERROR(_xlfn.XLOOKUP($E162,'Product Cost - Price'!$B$5:$B$301,'Product Cost - Price'!$G$5:$G$301),"")</f>
        <v/>
      </c>
      <c r="H162" s="204" t="str">
        <f>IFERROR(_xlfn.XLOOKUP($E162,'Product Cost - Price'!$B$5:$B$301,'Product Cost - Price'!$L$5:$L$301),"")</f>
        <v/>
      </c>
      <c r="I162" s="204" t="str">
        <f t="shared" si="37"/>
        <v>No Std</v>
      </c>
      <c r="J162" s="204" t="str">
        <f>IFERROR(_xlfn.XLOOKUP($E162,'Product Cost - Price'!$B$5:$B$301,'Product Cost - Price'!$M$5:$M$301),"")</f>
        <v/>
      </c>
      <c r="K162" s="204" t="str">
        <f t="shared" si="38"/>
        <v>No Std</v>
      </c>
      <c r="L162" s="204" t="str">
        <f>IFERROR(_xlfn.XLOOKUP($E162,'Product Cost - Price'!$B$5:$B$301,'Product Cost - Price'!$N$5:$N$301),"")</f>
        <v/>
      </c>
      <c r="M162" s="204" t="str">
        <f t="shared" si="39"/>
        <v>No Std</v>
      </c>
      <c r="N162" s="204" t="str">
        <f>IFERROR(_xlfn.XLOOKUP($E162,'Product Cost - Price'!$B$5:$B$301,'Product Cost - Price'!$O$5:$O$301),"")</f>
        <v/>
      </c>
      <c r="O162" s="204" t="str">
        <f t="shared" si="40"/>
        <v>No Std</v>
      </c>
      <c r="P162" s="204" t="str">
        <f>IFERROR(_xlfn.XLOOKUP($E162,'Product Cost - Price'!$B$5:$B$301,'Product Cost - Price'!$P$5:$P$301),"")</f>
        <v/>
      </c>
      <c r="Q162" s="204" t="str">
        <f t="shared" si="41"/>
        <v/>
      </c>
      <c r="R162" s="204" t="str">
        <f>IFERROR(_xlfn.XLOOKUP($E162,'Product Cost - Price'!$B$5:$B$301,'Product Cost - Price'!$Q$5:$Q$301),"")</f>
        <v/>
      </c>
      <c r="S162" s="204" t="str">
        <f t="shared" si="42"/>
        <v/>
      </c>
      <c r="U162" s="204" t="str">
        <f t="shared" si="43"/>
        <v/>
      </c>
      <c r="V162" s="276" t="str">
        <f t="shared" si="44"/>
        <v/>
      </c>
    </row>
    <row r="163" spans="1:22" x14ac:dyDescent="0.3">
      <c r="A163" s="207"/>
      <c r="B163" s="208"/>
      <c r="C163" s="274"/>
      <c r="E163" s="202" t="str">
        <f t="shared" si="36"/>
        <v/>
      </c>
      <c r="F163" s="203" t="str">
        <f>IFERROR(_xlfn.XLOOKUP($E163,'Product Cost - Price'!$B$5:$B$301,'Product Cost - Price'!$E$5:$E$301),"")</f>
        <v/>
      </c>
      <c r="G163" s="203" t="str">
        <f>IFERROR(_xlfn.XLOOKUP($E163,'Product Cost - Price'!$B$5:$B$301,'Product Cost - Price'!$G$5:$G$301),"")</f>
        <v/>
      </c>
      <c r="H163" s="204" t="str">
        <f>IFERROR(_xlfn.XLOOKUP($E163,'Product Cost - Price'!$B$5:$B$301,'Product Cost - Price'!$L$5:$L$301),"")</f>
        <v/>
      </c>
      <c r="I163" s="204" t="str">
        <f t="shared" si="37"/>
        <v>No Std</v>
      </c>
      <c r="J163" s="204" t="str">
        <f>IFERROR(_xlfn.XLOOKUP($E163,'Product Cost - Price'!$B$5:$B$301,'Product Cost - Price'!$M$5:$M$301),"")</f>
        <v/>
      </c>
      <c r="K163" s="204" t="str">
        <f t="shared" si="38"/>
        <v>No Std</v>
      </c>
      <c r="L163" s="204" t="str">
        <f>IFERROR(_xlfn.XLOOKUP($E163,'Product Cost - Price'!$B$5:$B$301,'Product Cost - Price'!$N$5:$N$301),"")</f>
        <v/>
      </c>
      <c r="M163" s="204" t="str">
        <f t="shared" si="39"/>
        <v>No Std</v>
      </c>
      <c r="N163" s="204" t="str">
        <f>IFERROR(_xlfn.XLOOKUP($E163,'Product Cost - Price'!$B$5:$B$301,'Product Cost - Price'!$O$5:$O$301),"")</f>
        <v/>
      </c>
      <c r="O163" s="204" t="str">
        <f t="shared" si="40"/>
        <v>No Std</v>
      </c>
      <c r="P163" s="204" t="str">
        <f>IFERROR(_xlfn.XLOOKUP($E163,'Product Cost - Price'!$B$5:$B$301,'Product Cost - Price'!$P$5:$P$301),"")</f>
        <v/>
      </c>
      <c r="Q163" s="204" t="str">
        <f t="shared" si="41"/>
        <v/>
      </c>
      <c r="R163" s="204" t="str">
        <f>IFERROR(_xlfn.XLOOKUP($E163,'Product Cost - Price'!$B$5:$B$301,'Product Cost - Price'!$Q$5:$Q$301),"")</f>
        <v/>
      </c>
      <c r="S163" s="204" t="str">
        <f t="shared" si="42"/>
        <v/>
      </c>
      <c r="U163" s="204" t="str">
        <f t="shared" si="43"/>
        <v/>
      </c>
      <c r="V163" s="276" t="str">
        <f t="shared" si="44"/>
        <v/>
      </c>
    </row>
    <row r="164" spans="1:22" x14ac:dyDescent="0.3">
      <c r="A164" s="207"/>
      <c r="B164" s="208"/>
      <c r="C164" s="274"/>
      <c r="E164" s="202" t="str">
        <f t="shared" si="36"/>
        <v/>
      </c>
      <c r="F164" s="203" t="str">
        <f>IFERROR(_xlfn.XLOOKUP($E164,'Product Cost - Price'!$B$5:$B$301,'Product Cost - Price'!$E$5:$E$301),"")</f>
        <v/>
      </c>
      <c r="G164" s="203" t="str">
        <f>IFERROR(_xlfn.XLOOKUP($E164,'Product Cost - Price'!$B$5:$B$301,'Product Cost - Price'!$G$5:$G$301),"")</f>
        <v/>
      </c>
      <c r="H164" s="204" t="str">
        <f>IFERROR(_xlfn.XLOOKUP($E164,'Product Cost - Price'!$B$5:$B$301,'Product Cost - Price'!$L$5:$L$301),"")</f>
        <v/>
      </c>
      <c r="I164" s="204" t="str">
        <f t="shared" si="37"/>
        <v>No Std</v>
      </c>
      <c r="J164" s="204" t="str">
        <f>IFERROR(_xlfn.XLOOKUP($E164,'Product Cost - Price'!$B$5:$B$301,'Product Cost - Price'!$M$5:$M$301),"")</f>
        <v/>
      </c>
      <c r="K164" s="204" t="str">
        <f t="shared" si="38"/>
        <v>No Std</v>
      </c>
      <c r="L164" s="204" t="str">
        <f>IFERROR(_xlfn.XLOOKUP($E164,'Product Cost - Price'!$B$5:$B$301,'Product Cost - Price'!$N$5:$N$301),"")</f>
        <v/>
      </c>
      <c r="M164" s="204" t="str">
        <f t="shared" si="39"/>
        <v>No Std</v>
      </c>
      <c r="N164" s="204" t="str">
        <f>IFERROR(_xlfn.XLOOKUP($E164,'Product Cost - Price'!$B$5:$B$301,'Product Cost - Price'!$O$5:$O$301),"")</f>
        <v/>
      </c>
      <c r="O164" s="204" t="str">
        <f t="shared" si="40"/>
        <v>No Std</v>
      </c>
      <c r="P164" s="204" t="str">
        <f>IFERROR(_xlfn.XLOOKUP($E164,'Product Cost - Price'!$B$5:$B$301,'Product Cost - Price'!$P$5:$P$301),"")</f>
        <v/>
      </c>
      <c r="Q164" s="204" t="str">
        <f t="shared" si="41"/>
        <v/>
      </c>
      <c r="R164" s="204" t="str">
        <f>IFERROR(_xlfn.XLOOKUP($E164,'Product Cost - Price'!$B$5:$B$301,'Product Cost - Price'!$Q$5:$Q$301),"")</f>
        <v/>
      </c>
      <c r="S164" s="204" t="str">
        <f t="shared" si="42"/>
        <v/>
      </c>
      <c r="U164" s="204" t="str">
        <f t="shared" si="43"/>
        <v/>
      </c>
      <c r="V164" s="276" t="str">
        <f t="shared" si="44"/>
        <v/>
      </c>
    </row>
    <row r="165" spans="1:22" x14ac:dyDescent="0.3">
      <c r="A165" s="207"/>
      <c r="B165" s="208"/>
      <c r="C165" s="274"/>
      <c r="E165" s="202" t="str">
        <f t="shared" si="36"/>
        <v/>
      </c>
      <c r="F165" s="203" t="str">
        <f>IFERROR(_xlfn.XLOOKUP($E165,'Product Cost - Price'!$B$5:$B$301,'Product Cost - Price'!$E$5:$E$301),"")</f>
        <v/>
      </c>
      <c r="G165" s="203" t="str">
        <f>IFERROR(_xlfn.XLOOKUP($E165,'Product Cost - Price'!$B$5:$B$301,'Product Cost - Price'!$G$5:$G$301),"")</f>
        <v/>
      </c>
      <c r="H165" s="204" t="str">
        <f>IFERROR(_xlfn.XLOOKUP($E165,'Product Cost - Price'!$B$5:$B$301,'Product Cost - Price'!$L$5:$L$301),"")</f>
        <v/>
      </c>
      <c r="I165" s="204" t="str">
        <f t="shared" si="37"/>
        <v>No Std</v>
      </c>
      <c r="J165" s="204" t="str">
        <f>IFERROR(_xlfn.XLOOKUP($E165,'Product Cost - Price'!$B$5:$B$301,'Product Cost - Price'!$M$5:$M$301),"")</f>
        <v/>
      </c>
      <c r="K165" s="204" t="str">
        <f t="shared" si="38"/>
        <v>No Std</v>
      </c>
      <c r="L165" s="204" t="str">
        <f>IFERROR(_xlfn.XLOOKUP($E165,'Product Cost - Price'!$B$5:$B$301,'Product Cost - Price'!$N$5:$N$301),"")</f>
        <v/>
      </c>
      <c r="M165" s="204" t="str">
        <f t="shared" si="39"/>
        <v>No Std</v>
      </c>
      <c r="N165" s="204" t="str">
        <f>IFERROR(_xlfn.XLOOKUP($E165,'Product Cost - Price'!$B$5:$B$301,'Product Cost - Price'!$O$5:$O$301),"")</f>
        <v/>
      </c>
      <c r="O165" s="204" t="str">
        <f t="shared" si="40"/>
        <v>No Std</v>
      </c>
      <c r="P165" s="204" t="str">
        <f>IFERROR(_xlfn.XLOOKUP($E165,'Product Cost - Price'!$B$5:$B$301,'Product Cost - Price'!$P$5:$P$301),"")</f>
        <v/>
      </c>
      <c r="Q165" s="204" t="str">
        <f t="shared" si="41"/>
        <v/>
      </c>
      <c r="R165" s="204" t="str">
        <f>IFERROR(_xlfn.XLOOKUP($E165,'Product Cost - Price'!$B$5:$B$301,'Product Cost - Price'!$Q$5:$Q$301),"")</f>
        <v/>
      </c>
      <c r="S165" s="204" t="str">
        <f t="shared" si="42"/>
        <v/>
      </c>
      <c r="U165" s="204" t="str">
        <f t="shared" si="43"/>
        <v/>
      </c>
      <c r="V165" s="276" t="str">
        <f t="shared" si="44"/>
        <v/>
      </c>
    </row>
    <row r="166" spans="1:22" x14ac:dyDescent="0.3">
      <c r="A166" s="207"/>
      <c r="B166" s="208"/>
      <c r="C166" s="274"/>
      <c r="E166" s="202" t="str">
        <f t="shared" si="36"/>
        <v/>
      </c>
      <c r="F166" s="203" t="str">
        <f>IFERROR(_xlfn.XLOOKUP($E166,'Product Cost - Price'!$B$5:$B$301,'Product Cost - Price'!$E$5:$E$301),"")</f>
        <v/>
      </c>
      <c r="G166" s="203" t="str">
        <f>IFERROR(_xlfn.XLOOKUP($E166,'Product Cost - Price'!$B$5:$B$301,'Product Cost - Price'!$G$5:$G$301),"")</f>
        <v/>
      </c>
      <c r="H166" s="204" t="str">
        <f>IFERROR(_xlfn.XLOOKUP($E166,'Product Cost - Price'!$B$5:$B$301,'Product Cost - Price'!$L$5:$L$301),"")</f>
        <v/>
      </c>
      <c r="I166" s="204" t="str">
        <f t="shared" si="37"/>
        <v>No Std</v>
      </c>
      <c r="J166" s="204" t="str">
        <f>IFERROR(_xlfn.XLOOKUP($E166,'Product Cost - Price'!$B$5:$B$301,'Product Cost - Price'!$M$5:$M$301),"")</f>
        <v/>
      </c>
      <c r="K166" s="204" t="str">
        <f t="shared" si="38"/>
        <v>No Std</v>
      </c>
      <c r="L166" s="204" t="str">
        <f>IFERROR(_xlfn.XLOOKUP($E166,'Product Cost - Price'!$B$5:$B$301,'Product Cost - Price'!$N$5:$N$301),"")</f>
        <v/>
      </c>
      <c r="M166" s="204" t="str">
        <f t="shared" si="39"/>
        <v>No Std</v>
      </c>
      <c r="N166" s="204" t="str">
        <f>IFERROR(_xlfn.XLOOKUP($E166,'Product Cost - Price'!$B$5:$B$301,'Product Cost - Price'!$O$5:$O$301),"")</f>
        <v/>
      </c>
      <c r="O166" s="204" t="str">
        <f t="shared" si="40"/>
        <v>No Std</v>
      </c>
      <c r="P166" s="204" t="str">
        <f>IFERROR(_xlfn.XLOOKUP($E166,'Product Cost - Price'!$B$5:$B$301,'Product Cost - Price'!$P$5:$P$301),"")</f>
        <v/>
      </c>
      <c r="Q166" s="204" t="str">
        <f t="shared" si="41"/>
        <v/>
      </c>
      <c r="R166" s="204" t="str">
        <f>IFERROR(_xlfn.XLOOKUP($E166,'Product Cost - Price'!$B$5:$B$301,'Product Cost - Price'!$Q$5:$Q$301),"")</f>
        <v/>
      </c>
      <c r="S166" s="204" t="str">
        <f t="shared" si="42"/>
        <v/>
      </c>
      <c r="U166" s="204" t="str">
        <f t="shared" si="43"/>
        <v/>
      </c>
      <c r="V166" s="276" t="str">
        <f t="shared" si="44"/>
        <v/>
      </c>
    </row>
    <row r="167" spans="1:22" x14ac:dyDescent="0.3">
      <c r="A167" s="207"/>
      <c r="B167" s="208"/>
      <c r="C167" s="274"/>
      <c r="E167" s="202" t="str">
        <f t="shared" si="36"/>
        <v/>
      </c>
      <c r="F167" s="203" t="str">
        <f>IFERROR(_xlfn.XLOOKUP($E167,'Product Cost - Price'!$B$5:$B$301,'Product Cost - Price'!$E$5:$E$301),"")</f>
        <v/>
      </c>
      <c r="G167" s="203" t="str">
        <f>IFERROR(_xlfn.XLOOKUP($E167,'Product Cost - Price'!$B$5:$B$301,'Product Cost - Price'!$G$5:$G$301),"")</f>
        <v/>
      </c>
      <c r="H167" s="204" t="str">
        <f>IFERROR(_xlfn.XLOOKUP($E167,'Product Cost - Price'!$B$5:$B$301,'Product Cost - Price'!$L$5:$L$301),"")</f>
        <v/>
      </c>
      <c r="I167" s="204" t="str">
        <f t="shared" si="37"/>
        <v>No Std</v>
      </c>
      <c r="J167" s="204" t="str">
        <f>IFERROR(_xlfn.XLOOKUP($E167,'Product Cost - Price'!$B$5:$B$301,'Product Cost - Price'!$M$5:$M$301),"")</f>
        <v/>
      </c>
      <c r="K167" s="204" t="str">
        <f t="shared" si="38"/>
        <v>No Std</v>
      </c>
      <c r="L167" s="204" t="str">
        <f>IFERROR(_xlfn.XLOOKUP($E167,'Product Cost - Price'!$B$5:$B$301,'Product Cost - Price'!$N$5:$N$301),"")</f>
        <v/>
      </c>
      <c r="M167" s="204" t="str">
        <f t="shared" si="39"/>
        <v>No Std</v>
      </c>
      <c r="N167" s="204" t="str">
        <f>IFERROR(_xlfn.XLOOKUP($E167,'Product Cost - Price'!$B$5:$B$301,'Product Cost - Price'!$O$5:$O$301),"")</f>
        <v/>
      </c>
      <c r="O167" s="204" t="str">
        <f t="shared" si="40"/>
        <v>No Std</v>
      </c>
      <c r="P167" s="204" t="str">
        <f>IFERROR(_xlfn.XLOOKUP($E167,'Product Cost - Price'!$B$5:$B$301,'Product Cost - Price'!$P$5:$P$301),"")</f>
        <v/>
      </c>
      <c r="Q167" s="204" t="str">
        <f t="shared" si="41"/>
        <v/>
      </c>
      <c r="R167" s="204" t="str">
        <f>IFERROR(_xlfn.XLOOKUP($E167,'Product Cost - Price'!$B$5:$B$301,'Product Cost - Price'!$Q$5:$Q$301),"")</f>
        <v/>
      </c>
      <c r="S167" s="204" t="str">
        <f t="shared" si="42"/>
        <v/>
      </c>
      <c r="U167" s="204" t="str">
        <f t="shared" si="43"/>
        <v/>
      </c>
      <c r="V167" s="276" t="str">
        <f t="shared" si="44"/>
        <v/>
      </c>
    </row>
    <row r="168" spans="1:22" x14ac:dyDescent="0.3">
      <c r="A168" s="207"/>
      <c r="B168" s="208"/>
      <c r="C168" s="274"/>
      <c r="E168" s="202" t="str">
        <f t="shared" si="36"/>
        <v/>
      </c>
      <c r="F168" s="203" t="str">
        <f>IFERROR(_xlfn.XLOOKUP($E168,'Product Cost - Price'!$B$5:$B$301,'Product Cost - Price'!$E$5:$E$301),"")</f>
        <v/>
      </c>
      <c r="G168" s="203" t="str">
        <f>IFERROR(_xlfn.XLOOKUP($E168,'Product Cost - Price'!$B$5:$B$301,'Product Cost - Price'!$G$5:$G$301),"")</f>
        <v/>
      </c>
      <c r="H168" s="204" t="str">
        <f>IFERROR(_xlfn.XLOOKUP($E168,'Product Cost - Price'!$B$5:$B$301,'Product Cost - Price'!$L$5:$L$301),"")</f>
        <v/>
      </c>
      <c r="I168" s="204" t="str">
        <f t="shared" si="37"/>
        <v>No Std</v>
      </c>
      <c r="J168" s="204" t="str">
        <f>IFERROR(_xlfn.XLOOKUP($E168,'Product Cost - Price'!$B$5:$B$301,'Product Cost - Price'!$M$5:$M$301),"")</f>
        <v/>
      </c>
      <c r="K168" s="204" t="str">
        <f t="shared" si="38"/>
        <v>No Std</v>
      </c>
      <c r="L168" s="204" t="str">
        <f>IFERROR(_xlfn.XLOOKUP($E168,'Product Cost - Price'!$B$5:$B$301,'Product Cost - Price'!$N$5:$N$301),"")</f>
        <v/>
      </c>
      <c r="M168" s="204" t="str">
        <f t="shared" si="39"/>
        <v>No Std</v>
      </c>
      <c r="N168" s="204" t="str">
        <f>IFERROR(_xlfn.XLOOKUP($E168,'Product Cost - Price'!$B$5:$B$301,'Product Cost - Price'!$O$5:$O$301),"")</f>
        <v/>
      </c>
      <c r="O168" s="204" t="str">
        <f t="shared" si="40"/>
        <v>No Std</v>
      </c>
      <c r="P168" s="204" t="str">
        <f>IFERROR(_xlfn.XLOOKUP($E168,'Product Cost - Price'!$B$5:$B$301,'Product Cost - Price'!$P$5:$P$301),"")</f>
        <v/>
      </c>
      <c r="Q168" s="204" t="str">
        <f t="shared" si="41"/>
        <v/>
      </c>
      <c r="R168" s="204" t="str">
        <f>IFERROR(_xlfn.XLOOKUP($E168,'Product Cost - Price'!$B$5:$B$301,'Product Cost - Price'!$Q$5:$Q$301),"")</f>
        <v/>
      </c>
      <c r="S168" s="204" t="str">
        <f t="shared" si="42"/>
        <v/>
      </c>
      <c r="U168" s="204" t="str">
        <f t="shared" si="43"/>
        <v/>
      </c>
      <c r="V168" s="276" t="str">
        <f t="shared" si="44"/>
        <v/>
      </c>
    </row>
    <row r="169" spans="1:22" x14ac:dyDescent="0.3">
      <c r="A169" s="207"/>
      <c r="B169" s="208"/>
      <c r="C169" s="274"/>
      <c r="E169" s="202" t="str">
        <f t="shared" si="36"/>
        <v/>
      </c>
      <c r="F169" s="203" t="str">
        <f>IFERROR(_xlfn.XLOOKUP($E169,'Product Cost - Price'!$B$5:$B$301,'Product Cost - Price'!$E$5:$E$301),"")</f>
        <v/>
      </c>
      <c r="G169" s="203" t="str">
        <f>IFERROR(_xlfn.XLOOKUP($E169,'Product Cost - Price'!$B$5:$B$301,'Product Cost - Price'!$G$5:$G$301),"")</f>
        <v/>
      </c>
      <c r="H169" s="204" t="str">
        <f>IFERROR(_xlfn.XLOOKUP($E169,'Product Cost - Price'!$B$5:$B$301,'Product Cost - Price'!$L$5:$L$301),"")</f>
        <v/>
      </c>
      <c r="I169" s="204" t="str">
        <f t="shared" si="37"/>
        <v>No Std</v>
      </c>
      <c r="J169" s="204" t="str">
        <f>IFERROR(_xlfn.XLOOKUP($E169,'Product Cost - Price'!$B$5:$B$301,'Product Cost - Price'!$M$5:$M$301),"")</f>
        <v/>
      </c>
      <c r="K169" s="204" t="str">
        <f t="shared" si="38"/>
        <v>No Std</v>
      </c>
      <c r="L169" s="204" t="str">
        <f>IFERROR(_xlfn.XLOOKUP($E169,'Product Cost - Price'!$B$5:$B$301,'Product Cost - Price'!$N$5:$N$301),"")</f>
        <v/>
      </c>
      <c r="M169" s="204" t="str">
        <f t="shared" si="39"/>
        <v>No Std</v>
      </c>
      <c r="N169" s="204" t="str">
        <f>IFERROR(_xlfn.XLOOKUP($E169,'Product Cost - Price'!$B$5:$B$301,'Product Cost - Price'!$O$5:$O$301),"")</f>
        <v/>
      </c>
      <c r="O169" s="204" t="str">
        <f t="shared" si="40"/>
        <v>No Std</v>
      </c>
      <c r="P169" s="204" t="str">
        <f>IFERROR(_xlfn.XLOOKUP($E169,'Product Cost - Price'!$B$5:$B$301,'Product Cost - Price'!$P$5:$P$301),"")</f>
        <v/>
      </c>
      <c r="Q169" s="204" t="str">
        <f t="shared" si="41"/>
        <v/>
      </c>
      <c r="R169" s="204" t="str">
        <f>IFERROR(_xlfn.XLOOKUP($E169,'Product Cost - Price'!$B$5:$B$301,'Product Cost - Price'!$Q$5:$Q$301),"")</f>
        <v/>
      </c>
      <c r="S169" s="204" t="str">
        <f t="shared" si="42"/>
        <v/>
      </c>
      <c r="U169" s="204" t="str">
        <f t="shared" si="43"/>
        <v/>
      </c>
      <c r="V169" s="276" t="str">
        <f t="shared" si="44"/>
        <v/>
      </c>
    </row>
    <row r="170" spans="1:22" x14ac:dyDescent="0.3">
      <c r="A170" s="207"/>
      <c r="B170" s="208"/>
      <c r="C170" s="274"/>
      <c r="E170" s="202" t="str">
        <f t="shared" si="36"/>
        <v/>
      </c>
      <c r="F170" s="203" t="str">
        <f>IFERROR(_xlfn.XLOOKUP($E170,'Product Cost - Price'!$B$5:$B$301,'Product Cost - Price'!$E$5:$E$301),"")</f>
        <v/>
      </c>
      <c r="G170" s="203" t="str">
        <f>IFERROR(_xlfn.XLOOKUP($E170,'Product Cost - Price'!$B$5:$B$301,'Product Cost - Price'!$G$5:$G$301),"")</f>
        <v/>
      </c>
      <c r="H170" s="204" t="str">
        <f>IFERROR(_xlfn.XLOOKUP($E170,'Product Cost - Price'!$B$5:$B$301,'Product Cost - Price'!$L$5:$L$301),"")</f>
        <v/>
      </c>
      <c r="I170" s="204" t="str">
        <f t="shared" si="37"/>
        <v>No Std</v>
      </c>
      <c r="J170" s="204" t="str">
        <f>IFERROR(_xlfn.XLOOKUP($E170,'Product Cost - Price'!$B$5:$B$301,'Product Cost - Price'!$M$5:$M$301),"")</f>
        <v/>
      </c>
      <c r="K170" s="204" t="str">
        <f t="shared" si="38"/>
        <v>No Std</v>
      </c>
      <c r="L170" s="204" t="str">
        <f>IFERROR(_xlfn.XLOOKUP($E170,'Product Cost - Price'!$B$5:$B$301,'Product Cost - Price'!$N$5:$N$301),"")</f>
        <v/>
      </c>
      <c r="M170" s="204" t="str">
        <f t="shared" si="39"/>
        <v>No Std</v>
      </c>
      <c r="N170" s="204" t="str">
        <f>IFERROR(_xlfn.XLOOKUP($E170,'Product Cost - Price'!$B$5:$B$301,'Product Cost - Price'!$O$5:$O$301),"")</f>
        <v/>
      </c>
      <c r="O170" s="204" t="str">
        <f t="shared" si="40"/>
        <v>No Std</v>
      </c>
      <c r="P170" s="204" t="str">
        <f>IFERROR(_xlfn.XLOOKUP($E170,'Product Cost - Price'!$B$5:$B$301,'Product Cost - Price'!$P$5:$P$301),"")</f>
        <v/>
      </c>
      <c r="Q170" s="204" t="str">
        <f t="shared" si="41"/>
        <v/>
      </c>
      <c r="R170" s="204" t="str">
        <f>IFERROR(_xlfn.XLOOKUP($E170,'Product Cost - Price'!$B$5:$B$301,'Product Cost - Price'!$Q$5:$Q$301),"")</f>
        <v/>
      </c>
      <c r="S170" s="204" t="str">
        <f t="shared" si="42"/>
        <v/>
      </c>
      <c r="U170" s="204" t="str">
        <f t="shared" si="43"/>
        <v/>
      </c>
      <c r="V170" s="276" t="str">
        <f t="shared" si="44"/>
        <v/>
      </c>
    </row>
    <row r="171" spans="1:22" x14ac:dyDescent="0.3">
      <c r="A171" s="207"/>
      <c r="B171" s="208"/>
      <c r="C171" s="274"/>
      <c r="E171" s="202" t="str">
        <f t="shared" si="36"/>
        <v/>
      </c>
      <c r="F171" s="203" t="str">
        <f>IFERROR(_xlfn.XLOOKUP($E171,'Product Cost - Price'!$B$5:$B$301,'Product Cost - Price'!$E$5:$E$301),"")</f>
        <v/>
      </c>
      <c r="G171" s="203" t="str">
        <f>IFERROR(_xlfn.XLOOKUP($E171,'Product Cost - Price'!$B$5:$B$301,'Product Cost - Price'!$G$5:$G$301),"")</f>
        <v/>
      </c>
      <c r="H171" s="204" t="str">
        <f>IFERROR(_xlfn.XLOOKUP($E171,'Product Cost - Price'!$B$5:$B$301,'Product Cost - Price'!$L$5:$L$301),"")</f>
        <v/>
      </c>
      <c r="I171" s="204" t="str">
        <f t="shared" si="37"/>
        <v>No Std</v>
      </c>
      <c r="J171" s="204" t="str">
        <f>IFERROR(_xlfn.XLOOKUP($E171,'Product Cost - Price'!$B$5:$B$301,'Product Cost - Price'!$M$5:$M$301),"")</f>
        <v/>
      </c>
      <c r="K171" s="204" t="str">
        <f t="shared" si="38"/>
        <v>No Std</v>
      </c>
      <c r="L171" s="204" t="str">
        <f>IFERROR(_xlfn.XLOOKUP($E171,'Product Cost - Price'!$B$5:$B$301,'Product Cost - Price'!$N$5:$N$301),"")</f>
        <v/>
      </c>
      <c r="M171" s="204" t="str">
        <f t="shared" si="39"/>
        <v>No Std</v>
      </c>
      <c r="N171" s="204" t="str">
        <f>IFERROR(_xlfn.XLOOKUP($E171,'Product Cost - Price'!$B$5:$B$301,'Product Cost - Price'!$O$5:$O$301),"")</f>
        <v/>
      </c>
      <c r="O171" s="204" t="str">
        <f t="shared" si="40"/>
        <v>No Std</v>
      </c>
      <c r="P171" s="204" t="str">
        <f>IFERROR(_xlfn.XLOOKUP($E171,'Product Cost - Price'!$B$5:$B$301,'Product Cost - Price'!$P$5:$P$301),"")</f>
        <v/>
      </c>
      <c r="Q171" s="204" t="str">
        <f t="shared" si="41"/>
        <v/>
      </c>
      <c r="R171" s="204" t="str">
        <f>IFERROR(_xlfn.XLOOKUP($E171,'Product Cost - Price'!$B$5:$B$301,'Product Cost - Price'!$Q$5:$Q$301),"")</f>
        <v/>
      </c>
      <c r="S171" s="204" t="str">
        <f t="shared" si="42"/>
        <v/>
      </c>
      <c r="U171" s="204" t="str">
        <f t="shared" si="43"/>
        <v/>
      </c>
      <c r="V171" s="276" t="str">
        <f t="shared" si="44"/>
        <v/>
      </c>
    </row>
    <row r="172" spans="1:22" x14ac:dyDescent="0.3">
      <c r="A172" s="207"/>
      <c r="B172" s="208"/>
      <c r="C172" s="274"/>
      <c r="E172" s="202" t="str">
        <f t="shared" si="36"/>
        <v/>
      </c>
      <c r="F172" s="203" t="str">
        <f>IFERROR(_xlfn.XLOOKUP($E172,'Product Cost - Price'!$B$5:$B$301,'Product Cost - Price'!$E$5:$E$301),"")</f>
        <v/>
      </c>
      <c r="G172" s="203" t="str">
        <f>IFERROR(_xlfn.XLOOKUP($E172,'Product Cost - Price'!$B$5:$B$301,'Product Cost - Price'!$G$5:$G$301),"")</f>
        <v/>
      </c>
      <c r="H172" s="204" t="str">
        <f>IFERROR(_xlfn.XLOOKUP($E172,'Product Cost - Price'!$B$5:$B$301,'Product Cost - Price'!$L$5:$L$301),"")</f>
        <v/>
      </c>
      <c r="I172" s="204" t="str">
        <f t="shared" si="37"/>
        <v>No Std</v>
      </c>
      <c r="J172" s="204" t="str">
        <f>IFERROR(_xlfn.XLOOKUP($E172,'Product Cost - Price'!$B$5:$B$301,'Product Cost - Price'!$M$5:$M$301),"")</f>
        <v/>
      </c>
      <c r="K172" s="204" t="str">
        <f t="shared" si="38"/>
        <v>No Std</v>
      </c>
      <c r="L172" s="204" t="str">
        <f>IFERROR(_xlfn.XLOOKUP($E172,'Product Cost - Price'!$B$5:$B$301,'Product Cost - Price'!$N$5:$N$301),"")</f>
        <v/>
      </c>
      <c r="M172" s="204" t="str">
        <f t="shared" si="39"/>
        <v>No Std</v>
      </c>
      <c r="N172" s="204" t="str">
        <f>IFERROR(_xlfn.XLOOKUP($E172,'Product Cost - Price'!$B$5:$B$301,'Product Cost - Price'!$O$5:$O$301),"")</f>
        <v/>
      </c>
      <c r="O172" s="204" t="str">
        <f t="shared" si="40"/>
        <v>No Std</v>
      </c>
      <c r="P172" s="204" t="str">
        <f>IFERROR(_xlfn.XLOOKUP($E172,'Product Cost - Price'!$B$5:$B$301,'Product Cost - Price'!$P$5:$P$301),"")</f>
        <v/>
      </c>
      <c r="Q172" s="204" t="str">
        <f t="shared" si="41"/>
        <v/>
      </c>
      <c r="R172" s="204" t="str">
        <f>IFERROR(_xlfn.XLOOKUP($E172,'Product Cost - Price'!$B$5:$B$301,'Product Cost - Price'!$Q$5:$Q$301),"")</f>
        <v/>
      </c>
      <c r="S172" s="204" t="str">
        <f t="shared" si="42"/>
        <v/>
      </c>
      <c r="U172" s="204" t="str">
        <f t="shared" si="43"/>
        <v/>
      </c>
      <c r="V172" s="276" t="str">
        <f t="shared" si="44"/>
        <v/>
      </c>
    </row>
    <row r="173" spans="1:22" x14ac:dyDescent="0.3">
      <c r="A173" s="207"/>
      <c r="B173" s="208"/>
      <c r="C173" s="274"/>
      <c r="E173" s="202" t="str">
        <f t="shared" si="36"/>
        <v/>
      </c>
      <c r="F173" s="203" t="str">
        <f>IFERROR(_xlfn.XLOOKUP($E173,'Product Cost - Price'!$B$5:$B$301,'Product Cost - Price'!$E$5:$E$301),"")</f>
        <v/>
      </c>
      <c r="G173" s="203" t="str">
        <f>IFERROR(_xlfn.XLOOKUP($E173,'Product Cost - Price'!$B$5:$B$301,'Product Cost - Price'!$G$5:$G$301),"")</f>
        <v/>
      </c>
      <c r="H173" s="204" t="str">
        <f>IFERROR(_xlfn.XLOOKUP($E173,'Product Cost - Price'!$B$5:$B$301,'Product Cost - Price'!$L$5:$L$301),"")</f>
        <v/>
      </c>
      <c r="I173" s="204" t="str">
        <f t="shared" si="37"/>
        <v>No Std</v>
      </c>
      <c r="J173" s="204" t="str">
        <f>IFERROR(_xlfn.XLOOKUP($E173,'Product Cost - Price'!$B$5:$B$301,'Product Cost - Price'!$M$5:$M$301),"")</f>
        <v/>
      </c>
      <c r="K173" s="204" t="str">
        <f t="shared" si="38"/>
        <v>No Std</v>
      </c>
      <c r="L173" s="204" t="str">
        <f>IFERROR(_xlfn.XLOOKUP($E173,'Product Cost - Price'!$B$5:$B$301,'Product Cost - Price'!$N$5:$N$301),"")</f>
        <v/>
      </c>
      <c r="M173" s="204" t="str">
        <f t="shared" si="39"/>
        <v>No Std</v>
      </c>
      <c r="N173" s="204" t="str">
        <f>IFERROR(_xlfn.XLOOKUP($E173,'Product Cost - Price'!$B$5:$B$301,'Product Cost - Price'!$O$5:$O$301),"")</f>
        <v/>
      </c>
      <c r="O173" s="204" t="str">
        <f t="shared" si="40"/>
        <v>No Std</v>
      </c>
      <c r="P173" s="204" t="str">
        <f>IFERROR(_xlfn.XLOOKUP($E173,'Product Cost - Price'!$B$5:$B$301,'Product Cost - Price'!$P$5:$P$301),"")</f>
        <v/>
      </c>
      <c r="Q173" s="204" t="str">
        <f t="shared" si="41"/>
        <v/>
      </c>
      <c r="R173" s="204" t="str">
        <f>IFERROR(_xlfn.XLOOKUP($E173,'Product Cost - Price'!$B$5:$B$301,'Product Cost - Price'!$Q$5:$Q$301),"")</f>
        <v/>
      </c>
      <c r="S173" s="204" t="str">
        <f t="shared" si="42"/>
        <v/>
      </c>
      <c r="U173" s="204" t="str">
        <f t="shared" si="43"/>
        <v/>
      </c>
      <c r="V173" s="276" t="str">
        <f t="shared" si="44"/>
        <v/>
      </c>
    </row>
    <row r="174" spans="1:22" x14ac:dyDescent="0.3">
      <c r="A174" s="207"/>
      <c r="B174" s="208"/>
      <c r="C174" s="274"/>
      <c r="E174" s="202" t="str">
        <f t="shared" si="36"/>
        <v/>
      </c>
      <c r="F174" s="203" t="str">
        <f>IFERROR(_xlfn.XLOOKUP($E174,'Product Cost - Price'!$B$5:$B$301,'Product Cost - Price'!$E$5:$E$301),"")</f>
        <v/>
      </c>
      <c r="G174" s="203" t="str">
        <f>IFERROR(_xlfn.XLOOKUP($E174,'Product Cost - Price'!$B$5:$B$301,'Product Cost - Price'!$G$5:$G$301),"")</f>
        <v/>
      </c>
      <c r="H174" s="204" t="str">
        <f>IFERROR(_xlfn.XLOOKUP($E174,'Product Cost - Price'!$B$5:$B$301,'Product Cost - Price'!$L$5:$L$301),"")</f>
        <v/>
      </c>
      <c r="I174" s="204" t="str">
        <f t="shared" si="37"/>
        <v>No Std</v>
      </c>
      <c r="J174" s="204" t="str">
        <f>IFERROR(_xlfn.XLOOKUP($E174,'Product Cost - Price'!$B$5:$B$301,'Product Cost - Price'!$M$5:$M$301),"")</f>
        <v/>
      </c>
      <c r="K174" s="204" t="str">
        <f t="shared" si="38"/>
        <v>No Std</v>
      </c>
      <c r="L174" s="204" t="str">
        <f>IFERROR(_xlfn.XLOOKUP($E174,'Product Cost - Price'!$B$5:$B$301,'Product Cost - Price'!$N$5:$N$301),"")</f>
        <v/>
      </c>
      <c r="M174" s="204" t="str">
        <f t="shared" si="39"/>
        <v>No Std</v>
      </c>
      <c r="N174" s="204" t="str">
        <f>IFERROR(_xlfn.XLOOKUP($E174,'Product Cost - Price'!$B$5:$B$301,'Product Cost - Price'!$O$5:$O$301),"")</f>
        <v/>
      </c>
      <c r="O174" s="204" t="str">
        <f t="shared" si="40"/>
        <v>No Std</v>
      </c>
      <c r="P174" s="204" t="str">
        <f>IFERROR(_xlfn.XLOOKUP($E174,'Product Cost - Price'!$B$5:$B$301,'Product Cost - Price'!$P$5:$P$301),"")</f>
        <v/>
      </c>
      <c r="Q174" s="204" t="str">
        <f t="shared" si="41"/>
        <v/>
      </c>
      <c r="R174" s="204" t="str">
        <f>IFERROR(_xlfn.XLOOKUP($E174,'Product Cost - Price'!$B$5:$B$301,'Product Cost - Price'!$Q$5:$Q$301),"")</f>
        <v/>
      </c>
      <c r="S174" s="204" t="str">
        <f t="shared" si="42"/>
        <v/>
      </c>
      <c r="U174" s="204" t="str">
        <f t="shared" si="43"/>
        <v/>
      </c>
      <c r="V174" s="276" t="str">
        <f t="shared" si="44"/>
        <v/>
      </c>
    </row>
    <row r="175" spans="1:22" x14ac:dyDescent="0.3">
      <c r="A175" s="207"/>
      <c r="B175" s="208"/>
      <c r="C175" s="274"/>
      <c r="E175" s="202" t="str">
        <f t="shared" si="36"/>
        <v/>
      </c>
      <c r="F175" s="203" t="str">
        <f>IFERROR(_xlfn.XLOOKUP($E175,'Product Cost - Price'!$B$5:$B$301,'Product Cost - Price'!$E$5:$E$301),"")</f>
        <v/>
      </c>
      <c r="G175" s="203" t="str">
        <f>IFERROR(_xlfn.XLOOKUP($E175,'Product Cost - Price'!$B$5:$B$301,'Product Cost - Price'!$G$5:$G$301),"")</f>
        <v/>
      </c>
      <c r="H175" s="204" t="str">
        <f>IFERROR(_xlfn.XLOOKUP($E175,'Product Cost - Price'!$B$5:$B$301,'Product Cost - Price'!$L$5:$L$301),"")</f>
        <v/>
      </c>
      <c r="I175" s="204" t="str">
        <f t="shared" si="37"/>
        <v>No Std</v>
      </c>
      <c r="J175" s="204" t="str">
        <f>IFERROR(_xlfn.XLOOKUP($E175,'Product Cost - Price'!$B$5:$B$301,'Product Cost - Price'!$M$5:$M$301),"")</f>
        <v/>
      </c>
      <c r="K175" s="204" t="str">
        <f t="shared" si="38"/>
        <v>No Std</v>
      </c>
      <c r="L175" s="204" t="str">
        <f>IFERROR(_xlfn.XLOOKUP($E175,'Product Cost - Price'!$B$5:$B$301,'Product Cost - Price'!$N$5:$N$301),"")</f>
        <v/>
      </c>
      <c r="M175" s="204" t="str">
        <f t="shared" si="39"/>
        <v>No Std</v>
      </c>
      <c r="N175" s="204" t="str">
        <f>IFERROR(_xlfn.XLOOKUP($E175,'Product Cost - Price'!$B$5:$B$301,'Product Cost - Price'!$O$5:$O$301),"")</f>
        <v/>
      </c>
      <c r="O175" s="204" t="str">
        <f t="shared" si="40"/>
        <v>No Std</v>
      </c>
      <c r="P175" s="204" t="str">
        <f>IFERROR(_xlfn.XLOOKUP($E175,'Product Cost - Price'!$B$5:$B$301,'Product Cost - Price'!$P$5:$P$301),"")</f>
        <v/>
      </c>
      <c r="Q175" s="204" t="str">
        <f t="shared" si="41"/>
        <v/>
      </c>
      <c r="R175" s="204" t="str">
        <f>IFERROR(_xlfn.XLOOKUP($E175,'Product Cost - Price'!$B$5:$B$301,'Product Cost - Price'!$Q$5:$Q$301),"")</f>
        <v/>
      </c>
      <c r="S175" s="204" t="str">
        <f t="shared" si="42"/>
        <v/>
      </c>
      <c r="U175" s="204" t="str">
        <f t="shared" si="43"/>
        <v/>
      </c>
      <c r="V175" s="276" t="str">
        <f t="shared" si="44"/>
        <v/>
      </c>
    </row>
    <row r="176" spans="1:22" x14ac:dyDescent="0.3">
      <c r="A176" s="207"/>
      <c r="B176" s="208"/>
      <c r="C176" s="274"/>
      <c r="E176" s="202" t="str">
        <f t="shared" si="36"/>
        <v/>
      </c>
      <c r="F176" s="203" t="str">
        <f>IFERROR(_xlfn.XLOOKUP($E176,'Product Cost - Price'!$B$5:$B$301,'Product Cost - Price'!$E$5:$E$301),"")</f>
        <v/>
      </c>
      <c r="G176" s="203" t="str">
        <f>IFERROR(_xlfn.XLOOKUP($E176,'Product Cost - Price'!$B$5:$B$301,'Product Cost - Price'!$G$5:$G$301),"")</f>
        <v/>
      </c>
      <c r="H176" s="204" t="str">
        <f>IFERROR(_xlfn.XLOOKUP($E176,'Product Cost - Price'!$B$5:$B$301,'Product Cost - Price'!$L$5:$L$301),"")</f>
        <v/>
      </c>
      <c r="I176" s="204" t="str">
        <f t="shared" si="37"/>
        <v>No Std</v>
      </c>
      <c r="J176" s="204" t="str">
        <f>IFERROR(_xlfn.XLOOKUP($E176,'Product Cost - Price'!$B$5:$B$301,'Product Cost - Price'!$M$5:$M$301),"")</f>
        <v/>
      </c>
      <c r="K176" s="204" t="str">
        <f t="shared" si="38"/>
        <v>No Std</v>
      </c>
      <c r="L176" s="204" t="str">
        <f>IFERROR(_xlfn.XLOOKUP($E176,'Product Cost - Price'!$B$5:$B$301,'Product Cost - Price'!$N$5:$N$301),"")</f>
        <v/>
      </c>
      <c r="M176" s="204" t="str">
        <f t="shared" si="39"/>
        <v>No Std</v>
      </c>
      <c r="N176" s="204" t="str">
        <f>IFERROR(_xlfn.XLOOKUP($E176,'Product Cost - Price'!$B$5:$B$301,'Product Cost - Price'!$O$5:$O$301),"")</f>
        <v/>
      </c>
      <c r="O176" s="204" t="str">
        <f t="shared" si="40"/>
        <v>No Std</v>
      </c>
      <c r="P176" s="204" t="str">
        <f>IFERROR(_xlfn.XLOOKUP($E176,'Product Cost - Price'!$B$5:$B$301,'Product Cost - Price'!$P$5:$P$301),"")</f>
        <v/>
      </c>
      <c r="Q176" s="204" t="str">
        <f t="shared" si="41"/>
        <v/>
      </c>
      <c r="R176" s="204" t="str">
        <f>IFERROR(_xlfn.XLOOKUP($E176,'Product Cost - Price'!$B$5:$B$301,'Product Cost - Price'!$Q$5:$Q$301),"")</f>
        <v/>
      </c>
      <c r="S176" s="204" t="str">
        <f t="shared" si="42"/>
        <v/>
      </c>
      <c r="U176" s="204" t="str">
        <f t="shared" si="43"/>
        <v/>
      </c>
      <c r="V176" s="276" t="str">
        <f t="shared" si="44"/>
        <v/>
      </c>
    </row>
    <row r="177" spans="1:22" x14ac:dyDescent="0.3">
      <c r="A177" s="207"/>
      <c r="B177" s="208"/>
      <c r="C177" s="274"/>
      <c r="E177" s="202" t="str">
        <f t="shared" si="36"/>
        <v/>
      </c>
      <c r="F177" s="203" t="str">
        <f>IFERROR(_xlfn.XLOOKUP($E177,'Product Cost - Price'!$B$5:$B$301,'Product Cost - Price'!$E$5:$E$301),"")</f>
        <v/>
      </c>
      <c r="G177" s="203" t="str">
        <f>IFERROR(_xlfn.XLOOKUP($E177,'Product Cost - Price'!$B$5:$B$301,'Product Cost - Price'!$G$5:$G$301),"")</f>
        <v/>
      </c>
      <c r="H177" s="204" t="str">
        <f>IFERROR(_xlfn.XLOOKUP($E177,'Product Cost - Price'!$B$5:$B$301,'Product Cost - Price'!$L$5:$L$301),"")</f>
        <v/>
      </c>
      <c r="I177" s="204" t="str">
        <f t="shared" si="37"/>
        <v>No Std</v>
      </c>
      <c r="J177" s="204" t="str">
        <f>IFERROR(_xlfn.XLOOKUP($E177,'Product Cost - Price'!$B$5:$B$301,'Product Cost - Price'!$M$5:$M$301),"")</f>
        <v/>
      </c>
      <c r="K177" s="204" t="str">
        <f t="shared" si="38"/>
        <v>No Std</v>
      </c>
      <c r="L177" s="204" t="str">
        <f>IFERROR(_xlfn.XLOOKUP($E177,'Product Cost - Price'!$B$5:$B$301,'Product Cost - Price'!$N$5:$N$301),"")</f>
        <v/>
      </c>
      <c r="M177" s="204" t="str">
        <f t="shared" si="39"/>
        <v>No Std</v>
      </c>
      <c r="N177" s="204" t="str">
        <f>IFERROR(_xlfn.XLOOKUP($E177,'Product Cost - Price'!$B$5:$B$301,'Product Cost - Price'!$O$5:$O$301),"")</f>
        <v/>
      </c>
      <c r="O177" s="204" t="str">
        <f t="shared" si="40"/>
        <v>No Std</v>
      </c>
      <c r="P177" s="204" t="str">
        <f>IFERROR(_xlfn.XLOOKUP($E177,'Product Cost - Price'!$B$5:$B$301,'Product Cost - Price'!$P$5:$P$301),"")</f>
        <v/>
      </c>
      <c r="Q177" s="204" t="str">
        <f t="shared" si="41"/>
        <v/>
      </c>
      <c r="R177" s="204" t="str">
        <f>IFERROR(_xlfn.XLOOKUP($E177,'Product Cost - Price'!$B$5:$B$301,'Product Cost - Price'!$Q$5:$Q$301),"")</f>
        <v/>
      </c>
      <c r="S177" s="204" t="str">
        <f t="shared" si="42"/>
        <v/>
      </c>
      <c r="U177" s="204" t="str">
        <f t="shared" si="43"/>
        <v/>
      </c>
      <c r="V177" s="276" t="str">
        <f t="shared" si="44"/>
        <v/>
      </c>
    </row>
    <row r="178" spans="1:22" x14ac:dyDescent="0.3">
      <c r="A178" s="207"/>
      <c r="B178" s="208"/>
      <c r="C178" s="274"/>
      <c r="E178" s="202" t="str">
        <f t="shared" si="36"/>
        <v/>
      </c>
      <c r="F178" s="203" t="str">
        <f>IFERROR(_xlfn.XLOOKUP($E178,'Product Cost - Price'!$B$5:$B$301,'Product Cost - Price'!$E$5:$E$301),"")</f>
        <v/>
      </c>
      <c r="G178" s="203" t="str">
        <f>IFERROR(_xlfn.XLOOKUP($E178,'Product Cost - Price'!$B$5:$B$301,'Product Cost - Price'!$G$5:$G$301),"")</f>
        <v/>
      </c>
      <c r="H178" s="204" t="str">
        <f>IFERROR(_xlfn.XLOOKUP($E178,'Product Cost - Price'!$B$5:$B$301,'Product Cost - Price'!$L$5:$L$301),"")</f>
        <v/>
      </c>
      <c r="I178" s="204" t="str">
        <f t="shared" si="37"/>
        <v>No Std</v>
      </c>
      <c r="J178" s="204" t="str">
        <f>IFERROR(_xlfn.XLOOKUP($E178,'Product Cost - Price'!$B$5:$B$301,'Product Cost - Price'!$M$5:$M$301),"")</f>
        <v/>
      </c>
      <c r="K178" s="204" t="str">
        <f t="shared" si="38"/>
        <v>No Std</v>
      </c>
      <c r="L178" s="204" t="str">
        <f>IFERROR(_xlfn.XLOOKUP($E178,'Product Cost - Price'!$B$5:$B$301,'Product Cost - Price'!$N$5:$N$301),"")</f>
        <v/>
      </c>
      <c r="M178" s="204" t="str">
        <f t="shared" si="39"/>
        <v>No Std</v>
      </c>
      <c r="N178" s="204" t="str">
        <f>IFERROR(_xlfn.XLOOKUP($E178,'Product Cost - Price'!$B$5:$B$301,'Product Cost - Price'!$O$5:$O$301),"")</f>
        <v/>
      </c>
      <c r="O178" s="204" t="str">
        <f t="shared" si="40"/>
        <v>No Std</v>
      </c>
      <c r="P178" s="204" t="str">
        <f>IFERROR(_xlfn.XLOOKUP($E178,'Product Cost - Price'!$B$5:$B$301,'Product Cost - Price'!$P$5:$P$301),"")</f>
        <v/>
      </c>
      <c r="Q178" s="204" t="str">
        <f t="shared" si="41"/>
        <v/>
      </c>
      <c r="R178" s="204" t="str">
        <f>IFERROR(_xlfn.XLOOKUP($E178,'Product Cost - Price'!$B$5:$B$301,'Product Cost - Price'!$Q$5:$Q$301),"")</f>
        <v/>
      </c>
      <c r="S178" s="204" t="str">
        <f t="shared" si="42"/>
        <v/>
      </c>
      <c r="U178" s="204" t="str">
        <f t="shared" si="43"/>
        <v/>
      </c>
      <c r="V178" s="276" t="str">
        <f t="shared" si="44"/>
        <v/>
      </c>
    </row>
    <row r="179" spans="1:22" x14ac:dyDescent="0.3">
      <c r="A179" s="207"/>
      <c r="B179" s="208"/>
      <c r="C179" s="274"/>
      <c r="E179" s="202" t="str">
        <f t="shared" si="36"/>
        <v/>
      </c>
      <c r="F179" s="203" t="str">
        <f>IFERROR(_xlfn.XLOOKUP($E179,'Product Cost - Price'!$B$5:$B$301,'Product Cost - Price'!$E$5:$E$301),"")</f>
        <v/>
      </c>
      <c r="G179" s="203" t="str">
        <f>IFERROR(_xlfn.XLOOKUP($E179,'Product Cost - Price'!$B$5:$B$301,'Product Cost - Price'!$G$5:$G$301),"")</f>
        <v/>
      </c>
      <c r="H179" s="204" t="str">
        <f>IFERROR(_xlfn.XLOOKUP($E179,'Product Cost - Price'!$B$5:$B$301,'Product Cost - Price'!$L$5:$L$301),"")</f>
        <v/>
      </c>
      <c r="I179" s="204" t="str">
        <f t="shared" si="37"/>
        <v>No Std</v>
      </c>
      <c r="J179" s="204" t="str">
        <f>IFERROR(_xlfn.XLOOKUP($E179,'Product Cost - Price'!$B$5:$B$301,'Product Cost - Price'!$M$5:$M$301),"")</f>
        <v/>
      </c>
      <c r="K179" s="204" t="str">
        <f t="shared" si="38"/>
        <v>No Std</v>
      </c>
      <c r="L179" s="204" t="str">
        <f>IFERROR(_xlfn.XLOOKUP($E179,'Product Cost - Price'!$B$5:$B$301,'Product Cost - Price'!$N$5:$N$301),"")</f>
        <v/>
      </c>
      <c r="M179" s="204" t="str">
        <f t="shared" si="39"/>
        <v>No Std</v>
      </c>
      <c r="N179" s="204" t="str">
        <f>IFERROR(_xlfn.XLOOKUP($E179,'Product Cost - Price'!$B$5:$B$301,'Product Cost - Price'!$O$5:$O$301),"")</f>
        <v/>
      </c>
      <c r="O179" s="204" t="str">
        <f t="shared" si="40"/>
        <v>No Std</v>
      </c>
      <c r="P179" s="204" t="str">
        <f>IFERROR(_xlfn.XLOOKUP($E179,'Product Cost - Price'!$B$5:$B$301,'Product Cost - Price'!$P$5:$P$301),"")</f>
        <v/>
      </c>
      <c r="Q179" s="204" t="str">
        <f t="shared" si="41"/>
        <v/>
      </c>
      <c r="R179" s="204" t="str">
        <f>IFERROR(_xlfn.XLOOKUP($E179,'Product Cost - Price'!$B$5:$B$301,'Product Cost - Price'!$Q$5:$Q$301),"")</f>
        <v/>
      </c>
      <c r="S179" s="204" t="str">
        <f t="shared" si="42"/>
        <v/>
      </c>
      <c r="U179" s="204" t="str">
        <f t="shared" si="43"/>
        <v/>
      </c>
      <c r="V179" s="276" t="str">
        <f t="shared" si="44"/>
        <v/>
      </c>
    </row>
    <row r="180" spans="1:22" x14ac:dyDescent="0.3">
      <c r="A180" s="207"/>
      <c r="B180" s="208"/>
      <c r="C180" s="274"/>
      <c r="E180" s="202" t="str">
        <f t="shared" si="36"/>
        <v/>
      </c>
      <c r="F180" s="203" t="str">
        <f>IFERROR(_xlfn.XLOOKUP($E180,'Product Cost - Price'!$B$5:$B$301,'Product Cost - Price'!$E$5:$E$301),"")</f>
        <v/>
      </c>
      <c r="G180" s="203" t="str">
        <f>IFERROR(_xlfn.XLOOKUP($E180,'Product Cost - Price'!$B$5:$B$301,'Product Cost - Price'!$G$5:$G$301),"")</f>
        <v/>
      </c>
      <c r="H180" s="204" t="str">
        <f>IFERROR(_xlfn.XLOOKUP($E180,'Product Cost - Price'!$B$5:$B$301,'Product Cost - Price'!$L$5:$L$301),"")</f>
        <v/>
      </c>
      <c r="I180" s="204" t="str">
        <f t="shared" si="37"/>
        <v>No Std</v>
      </c>
      <c r="J180" s="204" t="str">
        <f>IFERROR(_xlfn.XLOOKUP($E180,'Product Cost - Price'!$B$5:$B$301,'Product Cost - Price'!$M$5:$M$301),"")</f>
        <v/>
      </c>
      <c r="K180" s="204" t="str">
        <f t="shared" si="38"/>
        <v>No Std</v>
      </c>
      <c r="L180" s="204" t="str">
        <f>IFERROR(_xlfn.XLOOKUP($E180,'Product Cost - Price'!$B$5:$B$301,'Product Cost - Price'!$N$5:$N$301),"")</f>
        <v/>
      </c>
      <c r="M180" s="204" t="str">
        <f t="shared" si="39"/>
        <v>No Std</v>
      </c>
      <c r="N180" s="204" t="str">
        <f>IFERROR(_xlfn.XLOOKUP($E180,'Product Cost - Price'!$B$5:$B$301,'Product Cost - Price'!$O$5:$O$301),"")</f>
        <v/>
      </c>
      <c r="O180" s="204" t="str">
        <f t="shared" si="40"/>
        <v>No Std</v>
      </c>
      <c r="P180" s="204" t="str">
        <f>IFERROR(_xlfn.XLOOKUP($E180,'Product Cost - Price'!$B$5:$B$301,'Product Cost - Price'!$P$5:$P$301),"")</f>
        <v/>
      </c>
      <c r="Q180" s="204" t="str">
        <f t="shared" si="41"/>
        <v/>
      </c>
      <c r="R180" s="204" t="str">
        <f>IFERROR(_xlfn.XLOOKUP($E180,'Product Cost - Price'!$B$5:$B$301,'Product Cost - Price'!$Q$5:$Q$301),"")</f>
        <v/>
      </c>
      <c r="S180" s="204" t="str">
        <f t="shared" si="42"/>
        <v/>
      </c>
      <c r="U180" s="204" t="str">
        <f t="shared" si="43"/>
        <v/>
      </c>
      <c r="V180" s="276" t="str">
        <f t="shared" si="44"/>
        <v/>
      </c>
    </row>
    <row r="181" spans="1:22" x14ac:dyDescent="0.3">
      <c r="A181" s="207"/>
      <c r="B181" s="208"/>
      <c r="C181" s="274"/>
      <c r="E181" s="202" t="str">
        <f t="shared" si="36"/>
        <v/>
      </c>
      <c r="F181" s="203" t="str">
        <f>IFERROR(_xlfn.XLOOKUP($E181,'Product Cost - Price'!$B$5:$B$301,'Product Cost - Price'!$E$5:$E$301),"")</f>
        <v/>
      </c>
      <c r="G181" s="203" t="str">
        <f>IFERROR(_xlfn.XLOOKUP($E181,'Product Cost - Price'!$B$5:$B$301,'Product Cost - Price'!$G$5:$G$301),"")</f>
        <v/>
      </c>
      <c r="H181" s="204" t="str">
        <f>IFERROR(_xlfn.XLOOKUP($E181,'Product Cost - Price'!$B$5:$B$301,'Product Cost - Price'!$L$5:$L$301),"")</f>
        <v/>
      </c>
      <c r="I181" s="204" t="str">
        <f t="shared" si="37"/>
        <v>No Std</v>
      </c>
      <c r="J181" s="204" t="str">
        <f>IFERROR(_xlfn.XLOOKUP($E181,'Product Cost - Price'!$B$5:$B$301,'Product Cost - Price'!$M$5:$M$301),"")</f>
        <v/>
      </c>
      <c r="K181" s="204" t="str">
        <f t="shared" si="38"/>
        <v>No Std</v>
      </c>
      <c r="L181" s="204" t="str">
        <f>IFERROR(_xlfn.XLOOKUP($E181,'Product Cost - Price'!$B$5:$B$301,'Product Cost - Price'!$N$5:$N$301),"")</f>
        <v/>
      </c>
      <c r="M181" s="204" t="str">
        <f t="shared" si="39"/>
        <v>No Std</v>
      </c>
      <c r="N181" s="204" t="str">
        <f>IFERROR(_xlfn.XLOOKUP($E181,'Product Cost - Price'!$B$5:$B$301,'Product Cost - Price'!$O$5:$O$301),"")</f>
        <v/>
      </c>
      <c r="O181" s="204" t="str">
        <f t="shared" si="40"/>
        <v>No Std</v>
      </c>
      <c r="P181" s="204" t="str">
        <f>IFERROR(_xlfn.XLOOKUP($E181,'Product Cost - Price'!$B$5:$B$301,'Product Cost - Price'!$P$5:$P$301),"")</f>
        <v/>
      </c>
      <c r="Q181" s="204" t="str">
        <f t="shared" si="41"/>
        <v/>
      </c>
      <c r="R181" s="204" t="str">
        <f>IFERROR(_xlfn.XLOOKUP($E181,'Product Cost - Price'!$B$5:$B$301,'Product Cost - Price'!$Q$5:$Q$301),"")</f>
        <v/>
      </c>
      <c r="S181" s="204" t="str">
        <f t="shared" si="42"/>
        <v/>
      </c>
      <c r="U181" s="204" t="str">
        <f t="shared" si="43"/>
        <v/>
      </c>
      <c r="V181" s="276" t="str">
        <f t="shared" si="44"/>
        <v/>
      </c>
    </row>
    <row r="182" spans="1:22" x14ac:dyDescent="0.3">
      <c r="A182" s="207"/>
      <c r="B182" s="208"/>
      <c r="C182" s="274"/>
      <c r="E182" s="202" t="str">
        <f t="shared" si="36"/>
        <v/>
      </c>
      <c r="F182" s="203" t="str">
        <f>IFERROR(_xlfn.XLOOKUP($E182,'Product Cost - Price'!$B$5:$B$301,'Product Cost - Price'!$E$5:$E$301),"")</f>
        <v/>
      </c>
      <c r="G182" s="203" t="str">
        <f>IFERROR(_xlfn.XLOOKUP($E182,'Product Cost - Price'!$B$5:$B$301,'Product Cost - Price'!$G$5:$G$301),"")</f>
        <v/>
      </c>
      <c r="H182" s="204" t="str">
        <f>IFERROR(_xlfn.XLOOKUP($E182,'Product Cost - Price'!$B$5:$B$301,'Product Cost - Price'!$L$5:$L$301),"")</f>
        <v/>
      </c>
      <c r="I182" s="204" t="str">
        <f t="shared" si="37"/>
        <v>No Std</v>
      </c>
      <c r="J182" s="204" t="str">
        <f>IFERROR(_xlfn.XLOOKUP($E182,'Product Cost - Price'!$B$5:$B$301,'Product Cost - Price'!$M$5:$M$301),"")</f>
        <v/>
      </c>
      <c r="K182" s="204" t="str">
        <f t="shared" si="38"/>
        <v>No Std</v>
      </c>
      <c r="L182" s="204" t="str">
        <f>IFERROR(_xlfn.XLOOKUP($E182,'Product Cost - Price'!$B$5:$B$301,'Product Cost - Price'!$N$5:$N$301),"")</f>
        <v/>
      </c>
      <c r="M182" s="204" t="str">
        <f t="shared" si="39"/>
        <v>No Std</v>
      </c>
      <c r="N182" s="204" t="str">
        <f>IFERROR(_xlfn.XLOOKUP($E182,'Product Cost - Price'!$B$5:$B$301,'Product Cost - Price'!$O$5:$O$301),"")</f>
        <v/>
      </c>
      <c r="O182" s="204" t="str">
        <f t="shared" si="40"/>
        <v>No Std</v>
      </c>
      <c r="P182" s="204" t="str">
        <f>IFERROR(_xlfn.XLOOKUP($E182,'Product Cost - Price'!$B$5:$B$301,'Product Cost - Price'!$P$5:$P$301),"")</f>
        <v/>
      </c>
      <c r="Q182" s="204" t="str">
        <f t="shared" si="41"/>
        <v/>
      </c>
      <c r="R182" s="204" t="str">
        <f>IFERROR(_xlfn.XLOOKUP($E182,'Product Cost - Price'!$B$5:$B$301,'Product Cost - Price'!$Q$5:$Q$301),"")</f>
        <v/>
      </c>
      <c r="S182" s="204" t="str">
        <f t="shared" si="42"/>
        <v/>
      </c>
      <c r="U182" s="204" t="str">
        <f t="shared" si="43"/>
        <v/>
      </c>
      <c r="V182" s="276" t="str">
        <f t="shared" si="44"/>
        <v/>
      </c>
    </row>
    <row r="183" spans="1:22" x14ac:dyDescent="0.3">
      <c r="A183" s="207"/>
      <c r="B183" s="208"/>
      <c r="C183" s="274"/>
      <c r="E183" s="202" t="str">
        <f t="shared" si="36"/>
        <v/>
      </c>
      <c r="F183" s="203" t="str">
        <f>IFERROR(_xlfn.XLOOKUP($E183,'Product Cost - Price'!$B$5:$B$301,'Product Cost - Price'!$E$5:$E$301),"")</f>
        <v/>
      </c>
      <c r="G183" s="203" t="str">
        <f>IFERROR(_xlfn.XLOOKUP($E183,'Product Cost - Price'!$B$5:$B$301,'Product Cost - Price'!$G$5:$G$301),"")</f>
        <v/>
      </c>
      <c r="H183" s="204" t="str">
        <f>IFERROR(_xlfn.XLOOKUP($E183,'Product Cost - Price'!$B$5:$B$301,'Product Cost - Price'!$L$5:$L$301),"")</f>
        <v/>
      </c>
      <c r="I183" s="204" t="str">
        <f t="shared" si="37"/>
        <v>No Std</v>
      </c>
      <c r="J183" s="204" t="str">
        <f>IFERROR(_xlfn.XLOOKUP($E183,'Product Cost - Price'!$B$5:$B$301,'Product Cost - Price'!$M$5:$M$301),"")</f>
        <v/>
      </c>
      <c r="K183" s="204" t="str">
        <f t="shared" si="38"/>
        <v>No Std</v>
      </c>
      <c r="L183" s="204" t="str">
        <f>IFERROR(_xlfn.XLOOKUP($E183,'Product Cost - Price'!$B$5:$B$301,'Product Cost - Price'!$N$5:$N$301),"")</f>
        <v/>
      </c>
      <c r="M183" s="204" t="str">
        <f t="shared" si="39"/>
        <v>No Std</v>
      </c>
      <c r="N183" s="204" t="str">
        <f>IFERROR(_xlfn.XLOOKUP($E183,'Product Cost - Price'!$B$5:$B$301,'Product Cost - Price'!$O$5:$O$301),"")</f>
        <v/>
      </c>
      <c r="O183" s="204" t="str">
        <f t="shared" si="40"/>
        <v>No Std</v>
      </c>
      <c r="P183" s="204" t="str">
        <f>IFERROR(_xlfn.XLOOKUP($E183,'Product Cost - Price'!$B$5:$B$301,'Product Cost - Price'!$P$5:$P$301),"")</f>
        <v/>
      </c>
      <c r="Q183" s="204" t="str">
        <f t="shared" si="41"/>
        <v/>
      </c>
      <c r="R183" s="204" t="str">
        <f>IFERROR(_xlfn.XLOOKUP($E183,'Product Cost - Price'!$B$5:$B$301,'Product Cost - Price'!$Q$5:$Q$301),"")</f>
        <v/>
      </c>
      <c r="S183" s="204" t="str">
        <f t="shared" si="42"/>
        <v/>
      </c>
      <c r="U183" s="204" t="str">
        <f t="shared" si="43"/>
        <v/>
      </c>
      <c r="V183" s="276" t="str">
        <f t="shared" si="44"/>
        <v/>
      </c>
    </row>
    <row r="184" spans="1:22" x14ac:dyDescent="0.3">
      <c r="A184" s="207"/>
      <c r="B184" s="208"/>
      <c r="C184" s="274"/>
      <c r="E184" s="202" t="str">
        <f t="shared" si="36"/>
        <v/>
      </c>
      <c r="F184" s="203" t="str">
        <f>IFERROR(_xlfn.XLOOKUP($E184,'Product Cost - Price'!$B$5:$B$301,'Product Cost - Price'!$E$5:$E$301),"")</f>
        <v/>
      </c>
      <c r="G184" s="203" t="str">
        <f>IFERROR(_xlfn.XLOOKUP($E184,'Product Cost - Price'!$B$5:$B$301,'Product Cost - Price'!$G$5:$G$301),"")</f>
        <v/>
      </c>
      <c r="H184" s="204" t="str">
        <f>IFERROR(_xlfn.XLOOKUP($E184,'Product Cost - Price'!$B$5:$B$301,'Product Cost - Price'!$L$5:$L$301),"")</f>
        <v/>
      </c>
      <c r="I184" s="204" t="str">
        <f t="shared" si="37"/>
        <v>No Std</v>
      </c>
      <c r="J184" s="204" t="str">
        <f>IFERROR(_xlfn.XLOOKUP($E184,'Product Cost - Price'!$B$5:$B$301,'Product Cost - Price'!$M$5:$M$301),"")</f>
        <v/>
      </c>
      <c r="K184" s="204" t="str">
        <f t="shared" si="38"/>
        <v>No Std</v>
      </c>
      <c r="L184" s="204" t="str">
        <f>IFERROR(_xlfn.XLOOKUP($E184,'Product Cost - Price'!$B$5:$B$301,'Product Cost - Price'!$N$5:$N$301),"")</f>
        <v/>
      </c>
      <c r="M184" s="204" t="str">
        <f t="shared" si="39"/>
        <v>No Std</v>
      </c>
      <c r="N184" s="204" t="str">
        <f>IFERROR(_xlfn.XLOOKUP($E184,'Product Cost - Price'!$B$5:$B$301,'Product Cost - Price'!$O$5:$O$301),"")</f>
        <v/>
      </c>
      <c r="O184" s="204" t="str">
        <f t="shared" si="40"/>
        <v>No Std</v>
      </c>
      <c r="P184" s="204" t="str">
        <f>IFERROR(_xlfn.XLOOKUP($E184,'Product Cost - Price'!$B$5:$B$301,'Product Cost - Price'!$P$5:$P$301),"")</f>
        <v/>
      </c>
      <c r="Q184" s="204" t="str">
        <f t="shared" si="41"/>
        <v/>
      </c>
      <c r="R184" s="204" t="str">
        <f>IFERROR(_xlfn.XLOOKUP($E184,'Product Cost - Price'!$B$5:$B$301,'Product Cost - Price'!$Q$5:$Q$301),"")</f>
        <v/>
      </c>
      <c r="S184" s="204" t="str">
        <f t="shared" si="42"/>
        <v/>
      </c>
      <c r="U184" s="204" t="str">
        <f t="shared" si="43"/>
        <v/>
      </c>
      <c r="V184" s="276" t="str">
        <f t="shared" si="44"/>
        <v/>
      </c>
    </row>
    <row r="185" spans="1:22" x14ac:dyDescent="0.3">
      <c r="A185" s="207"/>
      <c r="B185" s="208"/>
      <c r="C185" s="274"/>
      <c r="E185" s="202" t="str">
        <f t="shared" si="36"/>
        <v/>
      </c>
      <c r="F185" s="203" t="str">
        <f>IFERROR(_xlfn.XLOOKUP($E185,'Product Cost - Price'!$B$5:$B$301,'Product Cost - Price'!$E$5:$E$301),"")</f>
        <v/>
      </c>
      <c r="G185" s="203" t="str">
        <f>IFERROR(_xlfn.XLOOKUP($E185,'Product Cost - Price'!$B$5:$B$301,'Product Cost - Price'!$G$5:$G$301),"")</f>
        <v/>
      </c>
      <c r="H185" s="204" t="str">
        <f>IFERROR(_xlfn.XLOOKUP($E185,'Product Cost - Price'!$B$5:$B$301,'Product Cost - Price'!$L$5:$L$301),"")</f>
        <v/>
      </c>
      <c r="I185" s="204" t="str">
        <f t="shared" si="37"/>
        <v>No Std</v>
      </c>
      <c r="J185" s="204" t="str">
        <f>IFERROR(_xlfn.XLOOKUP($E185,'Product Cost - Price'!$B$5:$B$301,'Product Cost - Price'!$M$5:$M$301),"")</f>
        <v/>
      </c>
      <c r="K185" s="204" t="str">
        <f t="shared" si="38"/>
        <v>No Std</v>
      </c>
      <c r="L185" s="204" t="str">
        <f>IFERROR(_xlfn.XLOOKUP($E185,'Product Cost - Price'!$B$5:$B$301,'Product Cost - Price'!$N$5:$N$301),"")</f>
        <v/>
      </c>
      <c r="M185" s="204" t="str">
        <f t="shared" si="39"/>
        <v>No Std</v>
      </c>
      <c r="N185" s="204" t="str">
        <f>IFERROR(_xlfn.XLOOKUP($E185,'Product Cost - Price'!$B$5:$B$301,'Product Cost - Price'!$O$5:$O$301),"")</f>
        <v/>
      </c>
      <c r="O185" s="204" t="str">
        <f t="shared" si="40"/>
        <v>No Std</v>
      </c>
      <c r="P185" s="204" t="str">
        <f>IFERROR(_xlfn.XLOOKUP($E185,'Product Cost - Price'!$B$5:$B$301,'Product Cost - Price'!$P$5:$P$301),"")</f>
        <v/>
      </c>
      <c r="Q185" s="204" t="str">
        <f t="shared" si="41"/>
        <v/>
      </c>
      <c r="R185" s="204" t="str">
        <f>IFERROR(_xlfn.XLOOKUP($E185,'Product Cost - Price'!$B$5:$B$301,'Product Cost - Price'!$Q$5:$Q$301),"")</f>
        <v/>
      </c>
      <c r="S185" s="204" t="str">
        <f t="shared" si="42"/>
        <v/>
      </c>
      <c r="U185" s="204" t="str">
        <f t="shared" si="43"/>
        <v/>
      </c>
      <c r="V185" s="276" t="str">
        <f t="shared" si="44"/>
        <v/>
      </c>
    </row>
    <row r="186" spans="1:22" x14ac:dyDescent="0.3">
      <c r="A186" s="207"/>
      <c r="B186" s="208"/>
      <c r="C186" s="274"/>
      <c r="E186" s="202" t="str">
        <f t="shared" si="36"/>
        <v/>
      </c>
      <c r="F186" s="203" t="str">
        <f>IFERROR(_xlfn.XLOOKUP($E186,'Product Cost - Price'!$B$5:$B$301,'Product Cost - Price'!$E$5:$E$301),"")</f>
        <v/>
      </c>
      <c r="G186" s="203" t="str">
        <f>IFERROR(_xlfn.XLOOKUP($E186,'Product Cost - Price'!$B$5:$B$301,'Product Cost - Price'!$G$5:$G$301),"")</f>
        <v/>
      </c>
      <c r="H186" s="204" t="str">
        <f>IFERROR(_xlfn.XLOOKUP($E186,'Product Cost - Price'!$B$5:$B$301,'Product Cost - Price'!$L$5:$L$301),"")</f>
        <v/>
      </c>
      <c r="I186" s="204" t="str">
        <f t="shared" si="37"/>
        <v>No Std</v>
      </c>
      <c r="J186" s="204" t="str">
        <f>IFERROR(_xlfn.XLOOKUP($E186,'Product Cost - Price'!$B$5:$B$301,'Product Cost - Price'!$M$5:$M$301),"")</f>
        <v/>
      </c>
      <c r="K186" s="204" t="str">
        <f t="shared" si="38"/>
        <v>No Std</v>
      </c>
      <c r="L186" s="204" t="str">
        <f>IFERROR(_xlfn.XLOOKUP($E186,'Product Cost - Price'!$B$5:$B$301,'Product Cost - Price'!$N$5:$N$301),"")</f>
        <v/>
      </c>
      <c r="M186" s="204" t="str">
        <f t="shared" si="39"/>
        <v>No Std</v>
      </c>
      <c r="N186" s="204" t="str">
        <f>IFERROR(_xlfn.XLOOKUP($E186,'Product Cost - Price'!$B$5:$B$301,'Product Cost - Price'!$O$5:$O$301),"")</f>
        <v/>
      </c>
      <c r="O186" s="204" t="str">
        <f t="shared" si="40"/>
        <v>No Std</v>
      </c>
      <c r="P186" s="204" t="str">
        <f>IFERROR(_xlfn.XLOOKUP($E186,'Product Cost - Price'!$B$5:$B$301,'Product Cost - Price'!$P$5:$P$301),"")</f>
        <v/>
      </c>
      <c r="Q186" s="204" t="str">
        <f t="shared" si="41"/>
        <v/>
      </c>
      <c r="R186" s="204" t="str">
        <f>IFERROR(_xlfn.XLOOKUP($E186,'Product Cost - Price'!$B$5:$B$301,'Product Cost - Price'!$Q$5:$Q$301),"")</f>
        <v/>
      </c>
      <c r="S186" s="204" t="str">
        <f t="shared" si="42"/>
        <v/>
      </c>
      <c r="U186" s="204" t="str">
        <f t="shared" si="43"/>
        <v/>
      </c>
      <c r="V186" s="276" t="str">
        <f t="shared" si="44"/>
        <v/>
      </c>
    </row>
    <row r="187" spans="1:22" x14ac:dyDescent="0.3">
      <c r="A187" s="207"/>
      <c r="B187" s="208"/>
      <c r="C187" s="274"/>
      <c r="E187" s="202" t="str">
        <f t="shared" si="36"/>
        <v/>
      </c>
      <c r="F187" s="203" t="str">
        <f>IFERROR(_xlfn.XLOOKUP($E187,'Product Cost - Price'!$B$5:$B$301,'Product Cost - Price'!$E$5:$E$301),"")</f>
        <v/>
      </c>
      <c r="G187" s="203" t="str">
        <f>IFERROR(_xlfn.XLOOKUP($E187,'Product Cost - Price'!$B$5:$B$301,'Product Cost - Price'!$G$5:$G$301),"")</f>
        <v/>
      </c>
      <c r="H187" s="204" t="str">
        <f>IFERROR(_xlfn.XLOOKUP($E187,'Product Cost - Price'!$B$5:$B$301,'Product Cost - Price'!$L$5:$L$301),"")</f>
        <v/>
      </c>
      <c r="I187" s="204" t="str">
        <f t="shared" si="37"/>
        <v>No Std</v>
      </c>
      <c r="J187" s="204" t="str">
        <f>IFERROR(_xlfn.XLOOKUP($E187,'Product Cost - Price'!$B$5:$B$301,'Product Cost - Price'!$M$5:$M$301),"")</f>
        <v/>
      </c>
      <c r="K187" s="204" t="str">
        <f t="shared" si="38"/>
        <v>No Std</v>
      </c>
      <c r="L187" s="204" t="str">
        <f>IFERROR(_xlfn.XLOOKUP($E187,'Product Cost - Price'!$B$5:$B$301,'Product Cost - Price'!$N$5:$N$301),"")</f>
        <v/>
      </c>
      <c r="M187" s="204" t="str">
        <f t="shared" si="39"/>
        <v>No Std</v>
      </c>
      <c r="N187" s="204" t="str">
        <f>IFERROR(_xlfn.XLOOKUP($E187,'Product Cost - Price'!$B$5:$B$301,'Product Cost - Price'!$O$5:$O$301),"")</f>
        <v/>
      </c>
      <c r="O187" s="204" t="str">
        <f t="shared" si="40"/>
        <v>No Std</v>
      </c>
      <c r="P187" s="204" t="str">
        <f>IFERROR(_xlfn.XLOOKUP($E187,'Product Cost - Price'!$B$5:$B$301,'Product Cost - Price'!$P$5:$P$301),"")</f>
        <v/>
      </c>
      <c r="Q187" s="204" t="str">
        <f t="shared" si="41"/>
        <v/>
      </c>
      <c r="R187" s="204" t="str">
        <f>IFERROR(_xlfn.XLOOKUP($E187,'Product Cost - Price'!$B$5:$B$301,'Product Cost - Price'!$Q$5:$Q$301),"")</f>
        <v/>
      </c>
      <c r="S187" s="204" t="str">
        <f t="shared" si="42"/>
        <v/>
      </c>
      <c r="U187" s="204" t="str">
        <f t="shared" si="43"/>
        <v/>
      </c>
      <c r="V187" s="276" t="str">
        <f t="shared" si="44"/>
        <v/>
      </c>
    </row>
    <row r="188" spans="1:22" x14ac:dyDescent="0.3">
      <c r="A188" s="207"/>
      <c r="B188" s="208"/>
      <c r="C188" s="274"/>
      <c r="E188" s="202" t="str">
        <f t="shared" si="36"/>
        <v/>
      </c>
      <c r="F188" s="203" t="str">
        <f>IFERROR(_xlfn.XLOOKUP($E188,'Product Cost - Price'!$B$5:$B$301,'Product Cost - Price'!$E$5:$E$301),"")</f>
        <v/>
      </c>
      <c r="G188" s="203" t="str">
        <f>IFERROR(_xlfn.XLOOKUP($E188,'Product Cost - Price'!$B$5:$B$301,'Product Cost - Price'!$G$5:$G$301),"")</f>
        <v/>
      </c>
      <c r="H188" s="204" t="str">
        <f>IFERROR(_xlfn.XLOOKUP($E188,'Product Cost - Price'!$B$5:$B$301,'Product Cost - Price'!$L$5:$L$301),"")</f>
        <v/>
      </c>
      <c r="I188" s="204" t="str">
        <f t="shared" si="37"/>
        <v>No Std</v>
      </c>
      <c r="J188" s="204" t="str">
        <f>IFERROR(_xlfn.XLOOKUP($E188,'Product Cost - Price'!$B$5:$B$301,'Product Cost - Price'!$M$5:$M$301),"")</f>
        <v/>
      </c>
      <c r="K188" s="204" t="str">
        <f t="shared" si="38"/>
        <v>No Std</v>
      </c>
      <c r="L188" s="204" t="str">
        <f>IFERROR(_xlfn.XLOOKUP($E188,'Product Cost - Price'!$B$5:$B$301,'Product Cost - Price'!$N$5:$N$301),"")</f>
        <v/>
      </c>
      <c r="M188" s="204" t="str">
        <f t="shared" si="39"/>
        <v>No Std</v>
      </c>
      <c r="N188" s="204" t="str">
        <f>IFERROR(_xlfn.XLOOKUP($E188,'Product Cost - Price'!$B$5:$B$301,'Product Cost - Price'!$O$5:$O$301),"")</f>
        <v/>
      </c>
      <c r="O188" s="204" t="str">
        <f t="shared" si="40"/>
        <v>No Std</v>
      </c>
      <c r="P188" s="204" t="str">
        <f>IFERROR(_xlfn.XLOOKUP($E188,'Product Cost - Price'!$B$5:$B$301,'Product Cost - Price'!$P$5:$P$301),"")</f>
        <v/>
      </c>
      <c r="Q188" s="204" t="str">
        <f t="shared" si="41"/>
        <v/>
      </c>
      <c r="R188" s="204" t="str">
        <f>IFERROR(_xlfn.XLOOKUP($E188,'Product Cost - Price'!$B$5:$B$301,'Product Cost - Price'!$Q$5:$Q$301),"")</f>
        <v/>
      </c>
      <c r="S188" s="204" t="str">
        <f t="shared" si="42"/>
        <v/>
      </c>
      <c r="U188" s="204" t="str">
        <f t="shared" si="43"/>
        <v/>
      </c>
      <c r="V188" s="276" t="str">
        <f t="shared" si="44"/>
        <v/>
      </c>
    </row>
    <row r="189" spans="1:22" x14ac:dyDescent="0.3">
      <c r="A189" s="207"/>
      <c r="B189" s="208"/>
      <c r="C189" s="274"/>
      <c r="E189" s="202" t="str">
        <f t="shared" si="36"/>
        <v/>
      </c>
      <c r="F189" s="203" t="str">
        <f>IFERROR(_xlfn.XLOOKUP($E189,'Product Cost - Price'!$B$5:$B$301,'Product Cost - Price'!$E$5:$E$301),"")</f>
        <v/>
      </c>
      <c r="G189" s="203" t="str">
        <f>IFERROR(_xlfn.XLOOKUP($E189,'Product Cost - Price'!$B$5:$B$301,'Product Cost - Price'!$G$5:$G$301),"")</f>
        <v/>
      </c>
      <c r="H189" s="204" t="str">
        <f>IFERROR(_xlfn.XLOOKUP($E189,'Product Cost - Price'!$B$5:$B$301,'Product Cost - Price'!$L$5:$L$301),"")</f>
        <v/>
      </c>
      <c r="I189" s="204" t="str">
        <f t="shared" si="37"/>
        <v>No Std</v>
      </c>
      <c r="J189" s="204" t="str">
        <f>IFERROR(_xlfn.XLOOKUP($E189,'Product Cost - Price'!$B$5:$B$301,'Product Cost - Price'!$M$5:$M$301),"")</f>
        <v/>
      </c>
      <c r="K189" s="204" t="str">
        <f t="shared" si="38"/>
        <v>No Std</v>
      </c>
      <c r="L189" s="204" t="str">
        <f>IFERROR(_xlfn.XLOOKUP($E189,'Product Cost - Price'!$B$5:$B$301,'Product Cost - Price'!$N$5:$N$301),"")</f>
        <v/>
      </c>
      <c r="M189" s="204" t="str">
        <f t="shared" si="39"/>
        <v>No Std</v>
      </c>
      <c r="N189" s="204" t="str">
        <f>IFERROR(_xlfn.XLOOKUP($E189,'Product Cost - Price'!$B$5:$B$301,'Product Cost - Price'!$O$5:$O$301),"")</f>
        <v/>
      </c>
      <c r="O189" s="204" t="str">
        <f t="shared" si="40"/>
        <v>No Std</v>
      </c>
      <c r="P189" s="204" t="str">
        <f>IFERROR(_xlfn.XLOOKUP($E189,'Product Cost - Price'!$B$5:$B$301,'Product Cost - Price'!$P$5:$P$301),"")</f>
        <v/>
      </c>
      <c r="Q189" s="204" t="str">
        <f t="shared" si="41"/>
        <v/>
      </c>
      <c r="R189" s="204" t="str">
        <f>IFERROR(_xlfn.XLOOKUP($E189,'Product Cost - Price'!$B$5:$B$301,'Product Cost - Price'!$Q$5:$Q$301),"")</f>
        <v/>
      </c>
      <c r="S189" s="204" t="str">
        <f t="shared" si="42"/>
        <v/>
      </c>
      <c r="U189" s="204" t="str">
        <f t="shared" si="43"/>
        <v/>
      </c>
      <c r="V189" s="276" t="str">
        <f t="shared" si="44"/>
        <v/>
      </c>
    </row>
    <row r="190" spans="1:22" x14ac:dyDescent="0.3">
      <c r="A190" s="207"/>
      <c r="B190" s="208"/>
      <c r="C190" s="274"/>
      <c r="E190" s="202" t="str">
        <f t="shared" si="36"/>
        <v/>
      </c>
      <c r="F190" s="203" t="str">
        <f>IFERROR(_xlfn.XLOOKUP($E190,'Product Cost - Price'!$B$5:$B$301,'Product Cost - Price'!$E$5:$E$301),"")</f>
        <v/>
      </c>
      <c r="G190" s="203" t="str">
        <f>IFERROR(_xlfn.XLOOKUP($E190,'Product Cost - Price'!$B$5:$B$301,'Product Cost - Price'!$G$5:$G$301),"")</f>
        <v/>
      </c>
      <c r="H190" s="204" t="str">
        <f>IFERROR(_xlfn.XLOOKUP($E190,'Product Cost - Price'!$B$5:$B$301,'Product Cost - Price'!$L$5:$L$301),"")</f>
        <v/>
      </c>
      <c r="I190" s="204" t="str">
        <f t="shared" si="37"/>
        <v>No Std</v>
      </c>
      <c r="J190" s="204" t="str">
        <f>IFERROR(_xlfn.XLOOKUP($E190,'Product Cost - Price'!$B$5:$B$301,'Product Cost - Price'!$M$5:$M$301),"")</f>
        <v/>
      </c>
      <c r="K190" s="204" t="str">
        <f t="shared" si="38"/>
        <v>No Std</v>
      </c>
      <c r="L190" s="204" t="str">
        <f>IFERROR(_xlfn.XLOOKUP($E190,'Product Cost - Price'!$B$5:$B$301,'Product Cost - Price'!$N$5:$N$301),"")</f>
        <v/>
      </c>
      <c r="M190" s="204" t="str">
        <f t="shared" si="39"/>
        <v>No Std</v>
      </c>
      <c r="N190" s="204" t="str">
        <f>IFERROR(_xlfn.XLOOKUP($E190,'Product Cost - Price'!$B$5:$B$301,'Product Cost - Price'!$O$5:$O$301),"")</f>
        <v/>
      </c>
      <c r="O190" s="204" t="str">
        <f t="shared" si="40"/>
        <v>No Std</v>
      </c>
      <c r="P190" s="204" t="str">
        <f>IFERROR(_xlfn.XLOOKUP($E190,'Product Cost - Price'!$B$5:$B$301,'Product Cost - Price'!$P$5:$P$301),"")</f>
        <v/>
      </c>
      <c r="Q190" s="204" t="str">
        <f t="shared" si="41"/>
        <v/>
      </c>
      <c r="R190" s="204" t="str">
        <f>IFERROR(_xlfn.XLOOKUP($E190,'Product Cost - Price'!$B$5:$B$301,'Product Cost - Price'!$Q$5:$Q$301),"")</f>
        <v/>
      </c>
      <c r="S190" s="204" t="str">
        <f t="shared" si="42"/>
        <v/>
      </c>
      <c r="U190" s="204" t="str">
        <f t="shared" si="43"/>
        <v/>
      </c>
      <c r="V190" s="276" t="str">
        <f t="shared" si="44"/>
        <v/>
      </c>
    </row>
    <row r="191" spans="1:22" x14ac:dyDescent="0.3">
      <c r="A191" s="207"/>
      <c r="B191" s="208"/>
      <c r="C191" s="274"/>
      <c r="E191" s="202" t="str">
        <f t="shared" si="36"/>
        <v/>
      </c>
      <c r="F191" s="203" t="str">
        <f>IFERROR(_xlfn.XLOOKUP($E191,'Product Cost - Price'!$B$5:$B$301,'Product Cost - Price'!$E$5:$E$301),"")</f>
        <v/>
      </c>
      <c r="G191" s="203" t="str">
        <f>IFERROR(_xlfn.XLOOKUP($E191,'Product Cost - Price'!$B$5:$B$301,'Product Cost - Price'!$G$5:$G$301),"")</f>
        <v/>
      </c>
      <c r="H191" s="204" t="str">
        <f>IFERROR(_xlfn.XLOOKUP($E191,'Product Cost - Price'!$B$5:$B$301,'Product Cost - Price'!$L$5:$L$301),"")</f>
        <v/>
      </c>
      <c r="I191" s="204" t="str">
        <f t="shared" si="37"/>
        <v>No Std</v>
      </c>
      <c r="J191" s="204" t="str">
        <f>IFERROR(_xlfn.XLOOKUP($E191,'Product Cost - Price'!$B$5:$B$301,'Product Cost - Price'!$M$5:$M$301),"")</f>
        <v/>
      </c>
      <c r="K191" s="204" t="str">
        <f t="shared" si="38"/>
        <v>No Std</v>
      </c>
      <c r="L191" s="204" t="str">
        <f>IFERROR(_xlfn.XLOOKUP($E191,'Product Cost - Price'!$B$5:$B$301,'Product Cost - Price'!$N$5:$N$301),"")</f>
        <v/>
      </c>
      <c r="M191" s="204" t="str">
        <f t="shared" si="39"/>
        <v>No Std</v>
      </c>
      <c r="N191" s="204" t="str">
        <f>IFERROR(_xlfn.XLOOKUP($E191,'Product Cost - Price'!$B$5:$B$301,'Product Cost - Price'!$O$5:$O$301),"")</f>
        <v/>
      </c>
      <c r="O191" s="204" t="str">
        <f t="shared" si="40"/>
        <v>No Std</v>
      </c>
      <c r="P191" s="204" t="str">
        <f>IFERROR(_xlfn.XLOOKUP($E191,'Product Cost - Price'!$B$5:$B$301,'Product Cost - Price'!$P$5:$P$301),"")</f>
        <v/>
      </c>
      <c r="Q191" s="204" t="str">
        <f t="shared" si="41"/>
        <v/>
      </c>
      <c r="R191" s="204" t="str">
        <f>IFERROR(_xlfn.XLOOKUP($E191,'Product Cost - Price'!$B$5:$B$301,'Product Cost - Price'!$Q$5:$Q$301),"")</f>
        <v/>
      </c>
      <c r="S191" s="204" t="str">
        <f t="shared" si="42"/>
        <v/>
      </c>
      <c r="U191" s="204" t="str">
        <f t="shared" si="43"/>
        <v/>
      </c>
      <c r="V191" s="276" t="str">
        <f t="shared" si="44"/>
        <v/>
      </c>
    </row>
    <row r="192" spans="1:22" x14ac:dyDescent="0.3">
      <c r="A192" s="207"/>
      <c r="B192" s="208"/>
      <c r="C192" s="274"/>
      <c r="E192" s="202" t="str">
        <f t="shared" si="36"/>
        <v/>
      </c>
      <c r="F192" s="203" t="str">
        <f>IFERROR(_xlfn.XLOOKUP($E192,'Product Cost - Price'!$B$5:$B$301,'Product Cost - Price'!$E$5:$E$301),"")</f>
        <v/>
      </c>
      <c r="G192" s="203" t="str">
        <f>IFERROR(_xlfn.XLOOKUP($E192,'Product Cost - Price'!$B$5:$B$301,'Product Cost - Price'!$G$5:$G$301),"")</f>
        <v/>
      </c>
      <c r="H192" s="204" t="str">
        <f>IFERROR(_xlfn.XLOOKUP($E192,'Product Cost - Price'!$B$5:$B$301,'Product Cost - Price'!$L$5:$L$301),"")</f>
        <v/>
      </c>
      <c r="I192" s="204" t="str">
        <f t="shared" si="37"/>
        <v>No Std</v>
      </c>
      <c r="J192" s="204" t="str">
        <f>IFERROR(_xlfn.XLOOKUP($E192,'Product Cost - Price'!$B$5:$B$301,'Product Cost - Price'!$M$5:$M$301),"")</f>
        <v/>
      </c>
      <c r="K192" s="204" t="str">
        <f t="shared" si="38"/>
        <v>No Std</v>
      </c>
      <c r="L192" s="204" t="str">
        <f>IFERROR(_xlfn.XLOOKUP($E192,'Product Cost - Price'!$B$5:$B$301,'Product Cost - Price'!$N$5:$N$301),"")</f>
        <v/>
      </c>
      <c r="M192" s="204" t="str">
        <f t="shared" si="39"/>
        <v>No Std</v>
      </c>
      <c r="N192" s="204" t="str">
        <f>IFERROR(_xlfn.XLOOKUP($E192,'Product Cost - Price'!$B$5:$B$301,'Product Cost - Price'!$O$5:$O$301),"")</f>
        <v/>
      </c>
      <c r="O192" s="204" t="str">
        <f t="shared" si="40"/>
        <v>No Std</v>
      </c>
      <c r="P192" s="204" t="str">
        <f>IFERROR(_xlfn.XLOOKUP($E192,'Product Cost - Price'!$B$5:$B$301,'Product Cost - Price'!$P$5:$P$301),"")</f>
        <v/>
      </c>
      <c r="Q192" s="204" t="str">
        <f t="shared" si="41"/>
        <v/>
      </c>
      <c r="R192" s="204" t="str">
        <f>IFERROR(_xlfn.XLOOKUP($E192,'Product Cost - Price'!$B$5:$B$301,'Product Cost - Price'!$Q$5:$Q$301),"")</f>
        <v/>
      </c>
      <c r="S192" s="204" t="str">
        <f t="shared" si="42"/>
        <v/>
      </c>
      <c r="U192" s="204" t="str">
        <f t="shared" si="43"/>
        <v/>
      </c>
      <c r="V192" s="276" t="str">
        <f t="shared" si="44"/>
        <v/>
      </c>
    </row>
    <row r="193" spans="1:22" x14ac:dyDescent="0.3">
      <c r="A193" s="207"/>
      <c r="B193" s="208"/>
      <c r="C193" s="274"/>
      <c r="E193" s="202" t="str">
        <f t="shared" si="36"/>
        <v/>
      </c>
      <c r="F193" s="203" t="str">
        <f>IFERROR(_xlfn.XLOOKUP($E193,'Product Cost - Price'!$B$5:$B$301,'Product Cost - Price'!$E$5:$E$301),"")</f>
        <v/>
      </c>
      <c r="G193" s="203" t="str">
        <f>IFERROR(_xlfn.XLOOKUP($E193,'Product Cost - Price'!$B$5:$B$301,'Product Cost - Price'!$G$5:$G$301),"")</f>
        <v/>
      </c>
      <c r="H193" s="204" t="str">
        <f>IFERROR(_xlfn.XLOOKUP($E193,'Product Cost - Price'!$B$5:$B$301,'Product Cost - Price'!$L$5:$L$301),"")</f>
        <v/>
      </c>
      <c r="I193" s="204" t="str">
        <f t="shared" si="37"/>
        <v>No Std</v>
      </c>
      <c r="J193" s="204" t="str">
        <f>IFERROR(_xlfn.XLOOKUP($E193,'Product Cost - Price'!$B$5:$B$301,'Product Cost - Price'!$M$5:$M$301),"")</f>
        <v/>
      </c>
      <c r="K193" s="204" t="str">
        <f t="shared" si="38"/>
        <v>No Std</v>
      </c>
      <c r="L193" s="204" t="str">
        <f>IFERROR(_xlfn.XLOOKUP($E193,'Product Cost - Price'!$B$5:$B$301,'Product Cost - Price'!$N$5:$N$301),"")</f>
        <v/>
      </c>
      <c r="M193" s="204" t="str">
        <f t="shared" si="39"/>
        <v>No Std</v>
      </c>
      <c r="N193" s="204" t="str">
        <f>IFERROR(_xlfn.XLOOKUP($E193,'Product Cost - Price'!$B$5:$B$301,'Product Cost - Price'!$O$5:$O$301),"")</f>
        <v/>
      </c>
      <c r="O193" s="204" t="str">
        <f t="shared" si="40"/>
        <v>No Std</v>
      </c>
      <c r="P193" s="204" t="str">
        <f>IFERROR(_xlfn.XLOOKUP($E193,'Product Cost - Price'!$B$5:$B$301,'Product Cost - Price'!$P$5:$P$301),"")</f>
        <v/>
      </c>
      <c r="Q193" s="204" t="str">
        <f t="shared" si="41"/>
        <v/>
      </c>
      <c r="R193" s="204" t="str">
        <f>IFERROR(_xlfn.XLOOKUP($E193,'Product Cost - Price'!$B$5:$B$301,'Product Cost - Price'!$Q$5:$Q$301),"")</f>
        <v/>
      </c>
      <c r="S193" s="204" t="str">
        <f t="shared" si="42"/>
        <v/>
      </c>
      <c r="U193" s="204" t="str">
        <f t="shared" si="43"/>
        <v/>
      </c>
      <c r="V193" s="276" t="str">
        <f t="shared" si="44"/>
        <v/>
      </c>
    </row>
    <row r="194" spans="1:22" x14ac:dyDescent="0.3">
      <c r="A194" s="207"/>
      <c r="B194" s="208"/>
      <c r="C194" s="274"/>
      <c r="E194" s="202" t="str">
        <f t="shared" si="36"/>
        <v/>
      </c>
      <c r="F194" s="203" t="str">
        <f>IFERROR(_xlfn.XLOOKUP($E194,'Product Cost - Price'!$B$5:$B$301,'Product Cost - Price'!$E$5:$E$301),"")</f>
        <v/>
      </c>
      <c r="G194" s="203" t="str">
        <f>IFERROR(_xlfn.XLOOKUP($E194,'Product Cost - Price'!$B$5:$B$301,'Product Cost - Price'!$G$5:$G$301),"")</f>
        <v/>
      </c>
      <c r="H194" s="204" t="str">
        <f>IFERROR(_xlfn.XLOOKUP($E194,'Product Cost - Price'!$B$5:$B$301,'Product Cost - Price'!$L$5:$L$301),"")</f>
        <v/>
      </c>
      <c r="I194" s="204" t="str">
        <f t="shared" si="37"/>
        <v>No Std</v>
      </c>
      <c r="J194" s="204" t="str">
        <f>IFERROR(_xlfn.XLOOKUP($E194,'Product Cost - Price'!$B$5:$B$301,'Product Cost - Price'!$M$5:$M$301),"")</f>
        <v/>
      </c>
      <c r="K194" s="204" t="str">
        <f t="shared" si="38"/>
        <v>No Std</v>
      </c>
      <c r="L194" s="204" t="str">
        <f>IFERROR(_xlfn.XLOOKUP($E194,'Product Cost - Price'!$B$5:$B$301,'Product Cost - Price'!$N$5:$N$301),"")</f>
        <v/>
      </c>
      <c r="M194" s="204" t="str">
        <f t="shared" si="39"/>
        <v>No Std</v>
      </c>
      <c r="N194" s="204" t="str">
        <f>IFERROR(_xlfn.XLOOKUP($E194,'Product Cost - Price'!$B$5:$B$301,'Product Cost - Price'!$O$5:$O$301),"")</f>
        <v/>
      </c>
      <c r="O194" s="204" t="str">
        <f t="shared" si="40"/>
        <v>No Std</v>
      </c>
      <c r="P194" s="204" t="str">
        <f>IFERROR(_xlfn.XLOOKUP($E194,'Product Cost - Price'!$B$5:$B$301,'Product Cost - Price'!$P$5:$P$301),"")</f>
        <v/>
      </c>
      <c r="Q194" s="204" t="str">
        <f t="shared" si="41"/>
        <v/>
      </c>
      <c r="R194" s="204" t="str">
        <f>IFERROR(_xlfn.XLOOKUP($E194,'Product Cost - Price'!$B$5:$B$301,'Product Cost - Price'!$Q$5:$Q$301),"")</f>
        <v/>
      </c>
      <c r="S194" s="204" t="str">
        <f t="shared" si="42"/>
        <v/>
      </c>
      <c r="U194" s="204" t="str">
        <f t="shared" si="43"/>
        <v/>
      </c>
      <c r="V194" s="276" t="str">
        <f t="shared" si="44"/>
        <v/>
      </c>
    </row>
    <row r="195" spans="1:22" x14ac:dyDescent="0.3">
      <c r="A195" s="207"/>
      <c r="B195" s="208"/>
      <c r="C195" s="274"/>
      <c r="E195" s="202" t="str">
        <f t="shared" si="36"/>
        <v/>
      </c>
      <c r="F195" s="203" t="str">
        <f>IFERROR(_xlfn.XLOOKUP($E195,'Product Cost - Price'!$B$5:$B$301,'Product Cost - Price'!$E$5:$E$301),"")</f>
        <v/>
      </c>
      <c r="G195" s="203" t="str">
        <f>IFERROR(_xlfn.XLOOKUP($E195,'Product Cost - Price'!$B$5:$B$301,'Product Cost - Price'!$G$5:$G$301),"")</f>
        <v/>
      </c>
      <c r="H195" s="204" t="str">
        <f>IFERROR(_xlfn.XLOOKUP($E195,'Product Cost - Price'!$B$5:$B$301,'Product Cost - Price'!$L$5:$L$301),"")</f>
        <v/>
      </c>
      <c r="I195" s="204" t="str">
        <f t="shared" si="37"/>
        <v>No Std</v>
      </c>
      <c r="J195" s="204" t="str">
        <f>IFERROR(_xlfn.XLOOKUP($E195,'Product Cost - Price'!$B$5:$B$301,'Product Cost - Price'!$M$5:$M$301),"")</f>
        <v/>
      </c>
      <c r="K195" s="204" t="str">
        <f t="shared" si="38"/>
        <v>No Std</v>
      </c>
      <c r="L195" s="204" t="str">
        <f>IFERROR(_xlfn.XLOOKUP($E195,'Product Cost - Price'!$B$5:$B$301,'Product Cost - Price'!$N$5:$N$301),"")</f>
        <v/>
      </c>
      <c r="M195" s="204" t="str">
        <f t="shared" si="39"/>
        <v>No Std</v>
      </c>
      <c r="N195" s="204" t="str">
        <f>IFERROR(_xlfn.XLOOKUP($E195,'Product Cost - Price'!$B$5:$B$301,'Product Cost - Price'!$O$5:$O$301),"")</f>
        <v/>
      </c>
      <c r="O195" s="204" t="str">
        <f t="shared" si="40"/>
        <v>No Std</v>
      </c>
      <c r="P195" s="204" t="str">
        <f>IFERROR(_xlfn.XLOOKUP($E195,'Product Cost - Price'!$B$5:$B$301,'Product Cost - Price'!$P$5:$P$301),"")</f>
        <v/>
      </c>
      <c r="Q195" s="204" t="str">
        <f t="shared" si="41"/>
        <v/>
      </c>
      <c r="R195" s="204" t="str">
        <f>IFERROR(_xlfn.XLOOKUP($E195,'Product Cost - Price'!$B$5:$B$301,'Product Cost - Price'!$Q$5:$Q$301),"")</f>
        <v/>
      </c>
      <c r="S195" s="204" t="str">
        <f t="shared" si="42"/>
        <v/>
      </c>
      <c r="U195" s="204" t="str">
        <f t="shared" si="43"/>
        <v/>
      </c>
      <c r="V195" s="276" t="str">
        <f t="shared" si="44"/>
        <v/>
      </c>
    </row>
    <row r="196" spans="1:22" x14ac:dyDescent="0.3">
      <c r="A196" s="207"/>
      <c r="B196" s="208"/>
      <c r="C196" s="274"/>
      <c r="E196" s="202" t="str">
        <f t="shared" si="36"/>
        <v/>
      </c>
      <c r="F196" s="203" t="str">
        <f>IFERROR(_xlfn.XLOOKUP($E196,'Product Cost - Price'!$B$5:$B$301,'Product Cost - Price'!$E$5:$E$301),"")</f>
        <v/>
      </c>
      <c r="G196" s="203" t="str">
        <f>IFERROR(_xlfn.XLOOKUP($E196,'Product Cost - Price'!$B$5:$B$301,'Product Cost - Price'!$G$5:$G$301),"")</f>
        <v/>
      </c>
      <c r="H196" s="204" t="str">
        <f>IFERROR(_xlfn.XLOOKUP($E196,'Product Cost - Price'!$B$5:$B$301,'Product Cost - Price'!$L$5:$L$301),"")</f>
        <v/>
      </c>
      <c r="I196" s="204" t="str">
        <f t="shared" si="37"/>
        <v>No Std</v>
      </c>
      <c r="J196" s="204" t="str">
        <f>IFERROR(_xlfn.XLOOKUP($E196,'Product Cost - Price'!$B$5:$B$301,'Product Cost - Price'!$M$5:$M$301),"")</f>
        <v/>
      </c>
      <c r="K196" s="204" t="str">
        <f t="shared" si="38"/>
        <v>No Std</v>
      </c>
      <c r="L196" s="204" t="str">
        <f>IFERROR(_xlfn.XLOOKUP($E196,'Product Cost - Price'!$B$5:$B$301,'Product Cost - Price'!$N$5:$N$301),"")</f>
        <v/>
      </c>
      <c r="M196" s="204" t="str">
        <f t="shared" si="39"/>
        <v>No Std</v>
      </c>
      <c r="N196" s="204" t="str">
        <f>IFERROR(_xlfn.XLOOKUP($E196,'Product Cost - Price'!$B$5:$B$301,'Product Cost - Price'!$O$5:$O$301),"")</f>
        <v/>
      </c>
      <c r="O196" s="204" t="str">
        <f t="shared" si="40"/>
        <v>No Std</v>
      </c>
      <c r="P196" s="204" t="str">
        <f>IFERROR(_xlfn.XLOOKUP($E196,'Product Cost - Price'!$B$5:$B$301,'Product Cost - Price'!$P$5:$P$301),"")</f>
        <v/>
      </c>
      <c r="Q196" s="204" t="str">
        <f t="shared" si="41"/>
        <v/>
      </c>
      <c r="R196" s="204" t="str">
        <f>IFERROR(_xlfn.XLOOKUP($E196,'Product Cost - Price'!$B$5:$B$301,'Product Cost - Price'!$Q$5:$Q$301),"")</f>
        <v/>
      </c>
      <c r="S196" s="204" t="str">
        <f t="shared" si="42"/>
        <v/>
      </c>
      <c r="U196" s="204" t="str">
        <f t="shared" si="43"/>
        <v/>
      </c>
      <c r="V196" s="276" t="str">
        <f t="shared" si="44"/>
        <v/>
      </c>
    </row>
    <row r="197" spans="1:22" x14ac:dyDescent="0.3">
      <c r="A197" s="207"/>
      <c r="B197" s="208"/>
      <c r="C197" s="274"/>
      <c r="E197" s="202" t="str">
        <f t="shared" ref="E197:E203" si="45">IFERROR(VALUE(LEFT(A197,6)),"")</f>
        <v/>
      </c>
      <c r="F197" s="203" t="str">
        <f>IFERROR(_xlfn.XLOOKUP($E197,'Product Cost - Price'!$B$5:$B$301,'Product Cost - Price'!$E$5:$E$301),"")</f>
        <v/>
      </c>
      <c r="G197" s="203" t="str">
        <f>IFERROR(_xlfn.XLOOKUP($E197,'Product Cost - Price'!$B$5:$B$301,'Product Cost - Price'!$G$5:$G$301),"")</f>
        <v/>
      </c>
      <c r="H197" s="204" t="str">
        <f>IFERROR(_xlfn.XLOOKUP($E197,'Product Cost - Price'!$B$5:$B$301,'Product Cost - Price'!$L$5:$L$301),"")</f>
        <v/>
      </c>
      <c r="I197" s="204" t="str">
        <f t="shared" ref="I197:I203" si="46">IFERROR(IF($F197="Standard",H197*$G197*$B197,IF(OR($F197="Per Unit",$F197="Bulka"),H197*$B197,IF($F197="1.5 kg",H197*1.5*8*$B197,"No Std"))),0)</f>
        <v>No Std</v>
      </c>
      <c r="J197" s="204" t="str">
        <f>IFERROR(_xlfn.XLOOKUP($E197,'Product Cost - Price'!$B$5:$B$301,'Product Cost - Price'!$M$5:$M$301),"")</f>
        <v/>
      </c>
      <c r="K197" s="204" t="str">
        <f t="shared" ref="K197:K203" si="47">IFERROR(IF($F197="Standard",J197*$G197*$B197,IF(OR($F197="Per Unit",$F197="Bulka"),J197*$B197,IF($F197="1.5 kg",J197*1.5*8*$B197,"No Std"))),0)</f>
        <v>No Std</v>
      </c>
      <c r="L197" s="204" t="str">
        <f>IFERROR(_xlfn.XLOOKUP($E197,'Product Cost - Price'!$B$5:$B$301,'Product Cost - Price'!$N$5:$N$301),"")</f>
        <v/>
      </c>
      <c r="M197" s="204" t="str">
        <f t="shared" ref="M197:M203" si="48">IFERROR(IF($F197="Standard",L197*$G197*$B197,IF(OR($F197="Per Unit",$F197="Bulka"),L197*$B197,IF($F197="1.5 kg",L197*1.5*8*$B197,"No Std"))),0)</f>
        <v>No Std</v>
      </c>
      <c r="N197" s="204" t="str">
        <f>IFERROR(_xlfn.XLOOKUP($E197,'Product Cost - Price'!$B$5:$B$301,'Product Cost - Price'!$O$5:$O$301),"")</f>
        <v/>
      </c>
      <c r="O197" s="204" t="str">
        <f t="shared" ref="O197:O203" si="49">IFERROR(IF($F197="Standard",N197*$G197*$B197,IF(OR($F197="Per Unit",$F197="Bulka"),N197*$B197,IF($F197="1.5 kg",N197*1.5*8*$B197,"No Std"))),0)</f>
        <v>No Std</v>
      </c>
      <c r="P197" s="204" t="str">
        <f>IFERROR(_xlfn.XLOOKUP($E197,'Product Cost - Price'!$B$5:$B$301,'Product Cost - Price'!$P$5:$P$301),"")</f>
        <v/>
      </c>
      <c r="Q197" s="204" t="str">
        <f t="shared" ref="Q197:Q203" si="50">IF(P197="","",P197*B197)</f>
        <v/>
      </c>
      <c r="R197" s="204" t="str">
        <f>IFERROR(_xlfn.XLOOKUP($E197,'Product Cost - Price'!$B$5:$B$301,'Product Cost - Price'!$Q$5:$Q$301),"")</f>
        <v/>
      </c>
      <c r="S197" s="204" t="str">
        <f t="shared" ref="S197:S203" si="51">IF(R197="","",R197*B197)</f>
        <v/>
      </c>
      <c r="U197" s="204" t="str">
        <f t="shared" ref="U197:U203" si="52">IFERROR(C197-I197-K197-M197-O197-Q197-S197,"")</f>
        <v/>
      </c>
      <c r="V197" s="276" t="str">
        <f t="shared" ref="V197:V203" si="53">IFERROR(U197/C197,"")</f>
        <v/>
      </c>
    </row>
    <row r="198" spans="1:22" x14ac:dyDescent="0.3">
      <c r="A198" s="207"/>
      <c r="B198" s="208"/>
      <c r="C198" s="274"/>
      <c r="E198" s="202" t="str">
        <f t="shared" si="45"/>
        <v/>
      </c>
      <c r="F198" s="203" t="str">
        <f>IFERROR(_xlfn.XLOOKUP($E198,'Product Cost - Price'!$B$5:$B$301,'Product Cost - Price'!$E$5:$E$301),"")</f>
        <v/>
      </c>
      <c r="G198" s="203" t="str">
        <f>IFERROR(_xlfn.XLOOKUP($E198,'Product Cost - Price'!$B$5:$B$301,'Product Cost - Price'!$G$5:$G$301),"")</f>
        <v/>
      </c>
      <c r="H198" s="204" t="str">
        <f>IFERROR(_xlfn.XLOOKUP($E198,'Product Cost - Price'!$B$5:$B$301,'Product Cost - Price'!$L$5:$L$301),"")</f>
        <v/>
      </c>
      <c r="I198" s="204" t="str">
        <f t="shared" si="46"/>
        <v>No Std</v>
      </c>
      <c r="J198" s="204" t="str">
        <f>IFERROR(_xlfn.XLOOKUP($E198,'Product Cost - Price'!$B$5:$B$301,'Product Cost - Price'!$M$5:$M$301),"")</f>
        <v/>
      </c>
      <c r="K198" s="204" t="str">
        <f t="shared" si="47"/>
        <v>No Std</v>
      </c>
      <c r="L198" s="204" t="str">
        <f>IFERROR(_xlfn.XLOOKUP($E198,'Product Cost - Price'!$B$5:$B$301,'Product Cost - Price'!$N$5:$N$301),"")</f>
        <v/>
      </c>
      <c r="M198" s="204" t="str">
        <f t="shared" si="48"/>
        <v>No Std</v>
      </c>
      <c r="N198" s="204" t="str">
        <f>IFERROR(_xlfn.XLOOKUP($E198,'Product Cost - Price'!$B$5:$B$301,'Product Cost - Price'!$O$5:$O$301),"")</f>
        <v/>
      </c>
      <c r="O198" s="204" t="str">
        <f t="shared" si="49"/>
        <v>No Std</v>
      </c>
      <c r="P198" s="204" t="str">
        <f>IFERROR(_xlfn.XLOOKUP($E198,'Product Cost - Price'!$B$5:$B$301,'Product Cost - Price'!$P$5:$P$301),"")</f>
        <v/>
      </c>
      <c r="Q198" s="204" t="str">
        <f t="shared" si="50"/>
        <v/>
      </c>
      <c r="R198" s="204" t="str">
        <f>IFERROR(_xlfn.XLOOKUP($E198,'Product Cost - Price'!$B$5:$B$301,'Product Cost - Price'!$Q$5:$Q$301),"")</f>
        <v/>
      </c>
      <c r="S198" s="204" t="str">
        <f t="shared" si="51"/>
        <v/>
      </c>
      <c r="U198" s="204" t="str">
        <f t="shared" si="52"/>
        <v/>
      </c>
      <c r="V198" s="276" t="str">
        <f t="shared" si="53"/>
        <v/>
      </c>
    </row>
    <row r="199" spans="1:22" x14ac:dyDescent="0.3">
      <c r="A199" s="207"/>
      <c r="B199" s="208"/>
      <c r="C199" s="274"/>
      <c r="E199" s="202" t="str">
        <f t="shared" si="45"/>
        <v/>
      </c>
      <c r="F199" s="203" t="str">
        <f>IFERROR(_xlfn.XLOOKUP($E199,'Product Cost - Price'!$B$5:$B$301,'Product Cost - Price'!$E$5:$E$301),"")</f>
        <v/>
      </c>
      <c r="G199" s="203" t="str">
        <f>IFERROR(_xlfn.XLOOKUP($E199,'Product Cost - Price'!$B$5:$B$301,'Product Cost - Price'!$G$5:$G$301),"")</f>
        <v/>
      </c>
      <c r="H199" s="204" t="str">
        <f>IFERROR(_xlfn.XLOOKUP($E199,'Product Cost - Price'!$B$5:$B$301,'Product Cost - Price'!$L$5:$L$301),"")</f>
        <v/>
      </c>
      <c r="I199" s="204" t="str">
        <f t="shared" si="46"/>
        <v>No Std</v>
      </c>
      <c r="J199" s="204" t="str">
        <f>IFERROR(_xlfn.XLOOKUP($E199,'Product Cost - Price'!$B$5:$B$301,'Product Cost - Price'!$M$5:$M$301),"")</f>
        <v/>
      </c>
      <c r="K199" s="204" t="str">
        <f t="shared" si="47"/>
        <v>No Std</v>
      </c>
      <c r="L199" s="204" t="str">
        <f>IFERROR(_xlfn.XLOOKUP($E199,'Product Cost - Price'!$B$5:$B$301,'Product Cost - Price'!$N$5:$N$301),"")</f>
        <v/>
      </c>
      <c r="M199" s="204" t="str">
        <f t="shared" si="48"/>
        <v>No Std</v>
      </c>
      <c r="N199" s="204" t="str">
        <f>IFERROR(_xlfn.XLOOKUP($E199,'Product Cost - Price'!$B$5:$B$301,'Product Cost - Price'!$O$5:$O$301),"")</f>
        <v/>
      </c>
      <c r="O199" s="204" t="str">
        <f t="shared" si="49"/>
        <v>No Std</v>
      </c>
      <c r="P199" s="204" t="str">
        <f>IFERROR(_xlfn.XLOOKUP($E199,'Product Cost - Price'!$B$5:$B$301,'Product Cost - Price'!$P$5:$P$301),"")</f>
        <v/>
      </c>
      <c r="Q199" s="204" t="str">
        <f t="shared" si="50"/>
        <v/>
      </c>
      <c r="R199" s="204" t="str">
        <f>IFERROR(_xlfn.XLOOKUP($E199,'Product Cost - Price'!$B$5:$B$301,'Product Cost - Price'!$Q$5:$Q$301),"")</f>
        <v/>
      </c>
      <c r="S199" s="204" t="str">
        <f t="shared" si="51"/>
        <v/>
      </c>
      <c r="U199" s="204" t="str">
        <f t="shared" si="52"/>
        <v/>
      </c>
      <c r="V199" s="276" t="str">
        <f t="shared" si="53"/>
        <v/>
      </c>
    </row>
    <row r="200" spans="1:22" x14ac:dyDescent="0.3">
      <c r="A200" s="207"/>
      <c r="B200" s="208"/>
      <c r="C200" s="274"/>
      <c r="E200" s="202" t="str">
        <f t="shared" si="45"/>
        <v/>
      </c>
      <c r="F200" s="203" t="str">
        <f>IFERROR(_xlfn.XLOOKUP($E200,'Product Cost - Price'!$B$5:$B$301,'Product Cost - Price'!$E$5:$E$301),"")</f>
        <v/>
      </c>
      <c r="G200" s="203" t="str">
        <f>IFERROR(_xlfn.XLOOKUP($E200,'Product Cost - Price'!$B$5:$B$301,'Product Cost - Price'!$G$5:$G$301),"")</f>
        <v/>
      </c>
      <c r="H200" s="204" t="str">
        <f>IFERROR(_xlfn.XLOOKUP($E200,'Product Cost - Price'!$B$5:$B$301,'Product Cost - Price'!$L$5:$L$301),"")</f>
        <v/>
      </c>
      <c r="I200" s="204" t="str">
        <f t="shared" si="46"/>
        <v>No Std</v>
      </c>
      <c r="J200" s="204" t="str">
        <f>IFERROR(_xlfn.XLOOKUP($E200,'Product Cost - Price'!$B$5:$B$301,'Product Cost - Price'!$M$5:$M$301),"")</f>
        <v/>
      </c>
      <c r="K200" s="204" t="str">
        <f t="shared" si="47"/>
        <v>No Std</v>
      </c>
      <c r="L200" s="204" t="str">
        <f>IFERROR(_xlfn.XLOOKUP($E200,'Product Cost - Price'!$B$5:$B$301,'Product Cost - Price'!$N$5:$N$301),"")</f>
        <v/>
      </c>
      <c r="M200" s="204" t="str">
        <f t="shared" si="48"/>
        <v>No Std</v>
      </c>
      <c r="N200" s="204" t="str">
        <f>IFERROR(_xlfn.XLOOKUP($E200,'Product Cost - Price'!$B$5:$B$301,'Product Cost - Price'!$O$5:$O$301),"")</f>
        <v/>
      </c>
      <c r="O200" s="204" t="str">
        <f t="shared" si="49"/>
        <v>No Std</v>
      </c>
      <c r="P200" s="204" t="str">
        <f>IFERROR(_xlfn.XLOOKUP($E200,'Product Cost - Price'!$B$5:$B$301,'Product Cost - Price'!$P$5:$P$301),"")</f>
        <v/>
      </c>
      <c r="Q200" s="204" t="str">
        <f t="shared" si="50"/>
        <v/>
      </c>
      <c r="R200" s="204" t="str">
        <f>IFERROR(_xlfn.XLOOKUP($E200,'Product Cost - Price'!$B$5:$B$301,'Product Cost - Price'!$Q$5:$Q$301),"")</f>
        <v/>
      </c>
      <c r="S200" s="204" t="str">
        <f t="shared" si="51"/>
        <v/>
      </c>
      <c r="U200" s="204" t="str">
        <f t="shared" si="52"/>
        <v/>
      </c>
      <c r="V200" s="276" t="str">
        <f t="shared" si="53"/>
        <v/>
      </c>
    </row>
    <row r="201" spans="1:22" x14ac:dyDescent="0.3">
      <c r="A201" s="207"/>
      <c r="B201" s="208"/>
      <c r="C201" s="274"/>
      <c r="E201" s="202" t="str">
        <f t="shared" si="45"/>
        <v/>
      </c>
      <c r="F201" s="203" t="str">
        <f>IFERROR(_xlfn.XLOOKUP($E201,'Product Cost - Price'!$B$5:$B$301,'Product Cost - Price'!$E$5:$E$301),"")</f>
        <v/>
      </c>
      <c r="G201" s="203" t="str">
        <f>IFERROR(_xlfn.XLOOKUP($E201,'Product Cost - Price'!$B$5:$B$301,'Product Cost - Price'!$G$5:$G$301),"")</f>
        <v/>
      </c>
      <c r="H201" s="204" t="str">
        <f>IFERROR(_xlfn.XLOOKUP($E201,'Product Cost - Price'!$B$5:$B$301,'Product Cost - Price'!$L$5:$L$301),"")</f>
        <v/>
      </c>
      <c r="I201" s="204" t="str">
        <f t="shared" si="46"/>
        <v>No Std</v>
      </c>
      <c r="J201" s="204" t="str">
        <f>IFERROR(_xlfn.XLOOKUP($E201,'Product Cost - Price'!$B$5:$B$301,'Product Cost - Price'!$M$5:$M$301),"")</f>
        <v/>
      </c>
      <c r="K201" s="204" t="str">
        <f t="shared" si="47"/>
        <v>No Std</v>
      </c>
      <c r="L201" s="204" t="str">
        <f>IFERROR(_xlfn.XLOOKUP($E201,'Product Cost - Price'!$B$5:$B$301,'Product Cost - Price'!$N$5:$N$301),"")</f>
        <v/>
      </c>
      <c r="M201" s="204" t="str">
        <f t="shared" si="48"/>
        <v>No Std</v>
      </c>
      <c r="N201" s="204" t="str">
        <f>IFERROR(_xlfn.XLOOKUP($E201,'Product Cost - Price'!$B$5:$B$301,'Product Cost - Price'!$O$5:$O$301),"")</f>
        <v/>
      </c>
      <c r="O201" s="204" t="str">
        <f t="shared" si="49"/>
        <v>No Std</v>
      </c>
      <c r="P201" s="204" t="str">
        <f>IFERROR(_xlfn.XLOOKUP($E201,'Product Cost - Price'!$B$5:$B$301,'Product Cost - Price'!$P$5:$P$301),"")</f>
        <v/>
      </c>
      <c r="Q201" s="204" t="str">
        <f t="shared" si="50"/>
        <v/>
      </c>
      <c r="R201" s="204" t="str">
        <f>IFERROR(_xlfn.XLOOKUP($E201,'Product Cost - Price'!$B$5:$B$301,'Product Cost - Price'!$Q$5:$Q$301),"")</f>
        <v/>
      </c>
      <c r="S201" s="204" t="str">
        <f t="shared" si="51"/>
        <v/>
      </c>
      <c r="U201" s="204" t="str">
        <f t="shared" si="52"/>
        <v/>
      </c>
      <c r="V201" s="276" t="str">
        <f t="shared" si="53"/>
        <v/>
      </c>
    </row>
    <row r="202" spans="1:22" x14ac:dyDescent="0.3">
      <c r="A202" s="207"/>
      <c r="B202" s="208"/>
      <c r="C202" s="274"/>
      <c r="E202" s="202" t="str">
        <f t="shared" si="45"/>
        <v/>
      </c>
      <c r="F202" s="203" t="str">
        <f>IFERROR(_xlfn.XLOOKUP($E202,'Product Cost - Price'!$B$5:$B$301,'Product Cost - Price'!$E$5:$E$301),"")</f>
        <v/>
      </c>
      <c r="G202" s="203" t="str">
        <f>IFERROR(_xlfn.XLOOKUP($E202,'Product Cost - Price'!$B$5:$B$301,'Product Cost - Price'!$G$5:$G$301),"")</f>
        <v/>
      </c>
      <c r="H202" s="204" t="str">
        <f>IFERROR(_xlfn.XLOOKUP($E202,'Product Cost - Price'!$B$5:$B$301,'Product Cost - Price'!$L$5:$L$301),"")</f>
        <v/>
      </c>
      <c r="I202" s="204" t="str">
        <f t="shared" si="46"/>
        <v>No Std</v>
      </c>
      <c r="J202" s="204" t="str">
        <f>IFERROR(_xlfn.XLOOKUP($E202,'Product Cost - Price'!$B$5:$B$301,'Product Cost - Price'!$M$5:$M$301),"")</f>
        <v/>
      </c>
      <c r="K202" s="204" t="str">
        <f t="shared" si="47"/>
        <v>No Std</v>
      </c>
      <c r="L202" s="204" t="str">
        <f>IFERROR(_xlfn.XLOOKUP($E202,'Product Cost - Price'!$B$5:$B$301,'Product Cost - Price'!$N$5:$N$301),"")</f>
        <v/>
      </c>
      <c r="M202" s="204" t="str">
        <f t="shared" si="48"/>
        <v>No Std</v>
      </c>
      <c r="N202" s="204" t="str">
        <f>IFERROR(_xlfn.XLOOKUP($E202,'Product Cost - Price'!$B$5:$B$301,'Product Cost - Price'!$O$5:$O$301),"")</f>
        <v/>
      </c>
      <c r="O202" s="204" t="str">
        <f t="shared" si="49"/>
        <v>No Std</v>
      </c>
      <c r="P202" s="204" t="str">
        <f>IFERROR(_xlfn.XLOOKUP($E202,'Product Cost - Price'!$B$5:$B$301,'Product Cost - Price'!$P$5:$P$301),"")</f>
        <v/>
      </c>
      <c r="Q202" s="204" t="str">
        <f t="shared" si="50"/>
        <v/>
      </c>
      <c r="R202" s="204" t="str">
        <f>IFERROR(_xlfn.XLOOKUP($E202,'Product Cost - Price'!$B$5:$B$301,'Product Cost - Price'!$Q$5:$Q$301),"")</f>
        <v/>
      </c>
      <c r="S202" s="204" t="str">
        <f t="shared" si="51"/>
        <v/>
      </c>
      <c r="U202" s="204" t="str">
        <f t="shared" si="52"/>
        <v/>
      </c>
      <c r="V202" s="276" t="str">
        <f t="shared" si="53"/>
        <v/>
      </c>
    </row>
    <row r="203" spans="1:22" x14ac:dyDescent="0.3">
      <c r="A203" s="207"/>
      <c r="B203" s="208"/>
      <c r="C203" s="274"/>
      <c r="E203" s="202" t="str">
        <f t="shared" si="45"/>
        <v/>
      </c>
      <c r="F203" s="203" t="str">
        <f>IFERROR(_xlfn.XLOOKUP($E203,'Product Cost - Price'!$B$5:$B$301,'Product Cost - Price'!$E$5:$E$301),"")</f>
        <v/>
      </c>
      <c r="G203" s="203" t="str">
        <f>IFERROR(_xlfn.XLOOKUP($E203,'Product Cost - Price'!$B$5:$B$301,'Product Cost - Price'!$G$5:$G$301),"")</f>
        <v/>
      </c>
      <c r="H203" s="204" t="str">
        <f>IFERROR(_xlfn.XLOOKUP($E203,'Product Cost - Price'!$B$5:$B$301,'Product Cost - Price'!$L$5:$L$301),"")</f>
        <v/>
      </c>
      <c r="I203" s="204" t="str">
        <f t="shared" si="46"/>
        <v>No Std</v>
      </c>
      <c r="J203" s="204" t="str">
        <f>IFERROR(_xlfn.XLOOKUP($E203,'Product Cost - Price'!$B$5:$B$301,'Product Cost - Price'!$M$5:$M$301),"")</f>
        <v/>
      </c>
      <c r="K203" s="204" t="str">
        <f t="shared" si="47"/>
        <v>No Std</v>
      </c>
      <c r="L203" s="204" t="str">
        <f>IFERROR(_xlfn.XLOOKUP($E203,'Product Cost - Price'!$B$5:$B$301,'Product Cost - Price'!$N$5:$N$301),"")</f>
        <v/>
      </c>
      <c r="M203" s="204" t="str">
        <f t="shared" si="48"/>
        <v>No Std</v>
      </c>
      <c r="N203" s="204" t="str">
        <f>IFERROR(_xlfn.XLOOKUP($E203,'Product Cost - Price'!$B$5:$B$301,'Product Cost - Price'!$O$5:$O$301),"")</f>
        <v/>
      </c>
      <c r="O203" s="204" t="str">
        <f t="shared" si="49"/>
        <v>No Std</v>
      </c>
      <c r="P203" s="204" t="str">
        <f>IFERROR(_xlfn.XLOOKUP($E203,'Product Cost - Price'!$B$5:$B$301,'Product Cost - Price'!$P$5:$P$301),"")</f>
        <v/>
      </c>
      <c r="Q203" s="204" t="str">
        <f t="shared" si="50"/>
        <v/>
      </c>
      <c r="R203" s="204" t="str">
        <f>IFERROR(_xlfn.XLOOKUP($E203,'Product Cost - Price'!$B$5:$B$301,'Product Cost - Price'!$Q$5:$Q$301),"")</f>
        <v/>
      </c>
      <c r="S203" s="204" t="str">
        <f t="shared" si="51"/>
        <v/>
      </c>
      <c r="U203" s="204" t="str">
        <f t="shared" si="52"/>
        <v/>
      </c>
      <c r="V203" s="276" t="str">
        <f t="shared" si="53"/>
        <v/>
      </c>
    </row>
    <row r="204" spans="1:22" x14ac:dyDescent="0.3">
      <c r="A204" s="178"/>
      <c r="B204" s="217"/>
      <c r="C204" s="217"/>
      <c r="E204" s="214"/>
      <c r="F204" s="215"/>
      <c r="G204" s="179"/>
      <c r="H204" s="216"/>
      <c r="I204" s="216"/>
      <c r="J204" s="216"/>
      <c r="K204" s="216"/>
      <c r="L204" s="216"/>
      <c r="M204" s="216"/>
      <c r="N204" s="216"/>
      <c r="O204" s="216"/>
      <c r="P204" s="216"/>
      <c r="Q204" s="216"/>
      <c r="R204" s="216"/>
      <c r="S204" s="216"/>
    </row>
    <row r="205" spans="1:22" ht="12" x14ac:dyDescent="0.25">
      <c r="B205" s="180"/>
      <c r="C205" s="180"/>
      <c r="D205" s="180"/>
      <c r="G205" s="180"/>
    </row>
    <row r="206" spans="1:22" ht="12" x14ac:dyDescent="0.25">
      <c r="B206" s="180"/>
      <c r="C206" s="180"/>
      <c r="D206" s="180"/>
      <c r="G206" s="180"/>
    </row>
    <row r="217" spans="1:19" s="200" customFormat="1" x14ac:dyDescent="0.3">
      <c r="A217" s="198" t="s">
        <v>766</v>
      </c>
      <c r="B217" s="205">
        <v>20000</v>
      </c>
      <c r="C217" s="205"/>
      <c r="D217" s="72"/>
      <c r="E217" s="197">
        <f>VALUE(LEFT(A217,6))</f>
        <v>409027</v>
      </c>
      <c r="F217" s="197"/>
      <c r="G217" s="199"/>
    </row>
    <row r="218" spans="1:19" s="200" customFormat="1" x14ac:dyDescent="0.3">
      <c r="A218" s="198" t="s">
        <v>767</v>
      </c>
      <c r="B218" s="205">
        <v>439</v>
      </c>
      <c r="C218" s="205"/>
      <c r="D218" s="72"/>
      <c r="E218" s="197">
        <f>VALUE(LEFT(A218,6))</f>
        <v>541156</v>
      </c>
      <c r="F218" s="197"/>
      <c r="G218" s="199"/>
    </row>
    <row r="219" spans="1:19" s="200" customFormat="1" x14ac:dyDescent="0.3">
      <c r="A219" s="198" t="s">
        <v>768</v>
      </c>
      <c r="B219" s="205">
        <v>60</v>
      </c>
      <c r="C219" s="205"/>
      <c r="D219" s="72"/>
      <c r="E219" s="197">
        <f>VALUE(LEFT(A219,6))</f>
        <v>564069</v>
      </c>
      <c r="F219" s="197"/>
      <c r="G219" s="199"/>
    </row>
    <row r="220" spans="1:19" s="200" customFormat="1" x14ac:dyDescent="0.3">
      <c r="A220" s="209" t="s">
        <v>769</v>
      </c>
      <c r="B220" s="210">
        <v>5356</v>
      </c>
      <c r="C220" s="273"/>
      <c r="D220" s="170"/>
      <c r="E220" s="211">
        <f>VALUE(LEFT(A220,6))</f>
        <v>564128</v>
      </c>
      <c r="F220" s="211"/>
      <c r="G220" s="212">
        <f>VLOOKUP($E220,'Product Cost - Price'!$B$4:$R$223,6,FALSE)</f>
        <v>1000</v>
      </c>
      <c r="H220" s="213" t="e">
        <f>VLOOKUP($E220,'Product Cost - Price'!$B$4:$R$223,11,FALSE)</f>
        <v>#N/A</v>
      </c>
      <c r="I220" s="213"/>
      <c r="J220" s="213">
        <f>VLOOKUP($E220,'Product Cost - Price'!$B$4:$R$223,12,FALSE)</f>
        <v>0</v>
      </c>
      <c r="K220" s="213"/>
      <c r="L220" s="213"/>
      <c r="M220" s="213"/>
      <c r="N220" s="213">
        <f>VLOOKUP($E220,'Product Cost - Price'!$B$4:$R$223,13,FALSE)</f>
        <v>8.5000000000000006E-2</v>
      </c>
      <c r="O220" s="213"/>
      <c r="P220" s="213">
        <f>VLOOKUP($E220,'Product Cost - Price'!$B$4:$R$223,14,FALSE)</f>
        <v>0</v>
      </c>
      <c r="Q220" s="213"/>
      <c r="R220" s="213">
        <f>VLOOKUP($E220,'Product Cost - Price'!$B$4:$R$223,15,FALSE)</f>
        <v>1.72E-2</v>
      </c>
      <c r="S220" s="213"/>
    </row>
    <row r="223" spans="1:19" x14ac:dyDescent="0.3">
      <c r="A223" s="207" t="s">
        <v>666</v>
      </c>
      <c r="B223" s="208">
        <v>60</v>
      </c>
      <c r="C223" s="272"/>
      <c r="E223" s="202">
        <f>VALUE(LEFT(A223,6))</f>
        <v>403935</v>
      </c>
      <c r="F223" s="203" t="str">
        <f>VLOOKUP($E223,'Product Cost - Price'!$B$4:$R$223,4,FALSE)</f>
        <v>Standard</v>
      </c>
      <c r="G223" s="203">
        <f>VLOOKUP($E223,'Product Cost - Price'!$B$4:$R$223,6,FALSE)</f>
        <v>20</v>
      </c>
      <c r="H223" s="204">
        <f>VLOOKUP($E223,'Product Cost - Price'!$B$4:$R$223,11,FALSE)</f>
        <v>0.58330825000000008</v>
      </c>
      <c r="I223" s="204">
        <f>IF($F223="Standard",H223*$G223*$B223,IF(OR($F223="Per Unit",$F223="Bulka"),H223*$B223,IF($F223="1.5 kg",H223*1.5*8*$B223,"No Std")))</f>
        <v>699.96990000000005</v>
      </c>
      <c r="J223" s="204">
        <f>VLOOKUP($E223,'Product Cost - Price'!$B$4:$R$223,12,FALSE)</f>
        <v>5.5E-2</v>
      </c>
      <c r="K223" s="204">
        <f>IF($F223="Standard",J223*$G223*$B223,IF(OR($F223="Per Unit",$F223="Bulka"),J223*$B223,IF($F223="1.5 kg",J223*1.5*8*$B223,"No Std")))</f>
        <v>66</v>
      </c>
      <c r="L223" s="204"/>
      <c r="M223" s="204"/>
      <c r="N223" s="204">
        <f>VLOOKUP($E223,'Product Cost - Price'!$B$4:$R$223,13,FALSE)</f>
        <v>0.08</v>
      </c>
      <c r="O223" s="204">
        <f>IF($F223="Standard",N223*$G223*$B223,IF(OR($F223="Per Unit",$F223="Bulka"),N223*$B223,IF($F223="1.5 kg",N223*1.5*8*$B223,"No Std")))</f>
        <v>96</v>
      </c>
      <c r="P223" s="204">
        <f>VLOOKUP($E223,'Product Cost - Price'!$B$4:$R$223,14,FALSE)</f>
        <v>0</v>
      </c>
      <c r="Q223" s="204">
        <f>P223*B223</f>
        <v>0</v>
      </c>
      <c r="R223" s="204">
        <f>VLOOKUP($E223,'Product Cost - Price'!$B$4:$R$223,15,FALSE)</f>
        <v>0.6925</v>
      </c>
      <c r="S223" s="204">
        <f>R223*B223</f>
        <v>41.55</v>
      </c>
    </row>
  </sheetData>
  <autoFilter ref="A7:V135" xr:uid="{6D4A76CB-67F8-4E4F-92A3-B1C4E0D1F9AA}">
    <sortState xmlns:xlrd2="http://schemas.microsoft.com/office/spreadsheetml/2017/richdata2" ref="A9:V135">
      <sortCondition ref="A7:A135"/>
    </sortState>
  </autoFilter>
  <mergeCells count="13">
    <mergeCell ref="A6:A7"/>
    <mergeCell ref="B6:B7"/>
    <mergeCell ref="E6:E7"/>
    <mergeCell ref="F6:F7"/>
    <mergeCell ref="G6:G7"/>
    <mergeCell ref="C6:C7"/>
    <mergeCell ref="U6:V6"/>
    <mergeCell ref="H6:I6"/>
    <mergeCell ref="R6:S6"/>
    <mergeCell ref="J6:K6"/>
    <mergeCell ref="N6:O6"/>
    <mergeCell ref="P6:Q6"/>
    <mergeCell ref="L6:M6"/>
  </mergeCells>
  <conditionalFormatting sqref="A1 A5:A7 A136:A204 A207:A1048576">
    <cfRule type="cellIs" dxfId="1" priority="1" operator="equal">
      <formula>"403935 - Custom -"</formula>
    </cfRule>
  </conditionalFormatting>
  <pageMargins left="0.7" right="0.7" top="0.75" bottom="0.75" header="0.3" footer="0.3"/>
  <pageSetup paperSize="9" orientation="portrait" horizontalDpi="360" verticalDpi="360" r:id="rId1"/>
  <ignoredErrors>
    <ignoredError sqref="J136:J203 L136:L203 N136:N20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D654-D8F7-4529-91C1-89C6F01E995A}">
  <sheetPr>
    <tabColor theme="0" tint="-4.9989318521683403E-2"/>
    <pageSetUpPr fitToPage="1"/>
  </sheetPr>
  <dimension ref="A1:Q319"/>
  <sheetViews>
    <sheetView workbookViewId="0"/>
  </sheetViews>
  <sheetFormatPr defaultColWidth="9.109375" defaultRowHeight="14.4" x14ac:dyDescent="0.3"/>
  <cols>
    <col min="1" max="1" width="13" style="6" customWidth="1"/>
    <col min="2" max="2" width="68.88671875" style="1" bestFit="1" customWidth="1"/>
    <col min="3" max="3" width="17.44140625" style="1" customWidth="1"/>
    <col min="4" max="4" width="15" style="1" bestFit="1" customWidth="1"/>
    <col min="5" max="5" width="16.5546875" style="1" customWidth="1"/>
    <col min="6" max="6" width="15" style="1" customWidth="1"/>
    <col min="7" max="7" width="5.44140625" style="72" customWidth="1"/>
    <col min="8" max="8" width="16.5546875" style="6" customWidth="1"/>
    <col min="9" max="9" width="15" style="1" bestFit="1" customWidth="1"/>
    <col min="10" max="10" width="15.5546875" style="1" bestFit="1" customWidth="1"/>
    <col min="11" max="11" width="6.5546875" style="72" customWidth="1"/>
    <col min="12" max="12" width="15" style="1" bestFit="1" customWidth="1"/>
    <col min="13" max="13" width="15.88671875" style="1" bestFit="1" customWidth="1"/>
    <col min="14" max="16384" width="9.109375" style="1"/>
  </cols>
  <sheetData>
    <row r="1" spans="1:13" s="175" customFormat="1" ht="24" customHeight="1" x14ac:dyDescent="0.35">
      <c r="D1" s="176"/>
      <c r="E1" s="177"/>
      <c r="F1" s="176"/>
      <c r="G1" s="176"/>
      <c r="H1" s="324">
        <v>45870</v>
      </c>
      <c r="I1" s="325"/>
      <c r="J1" s="326"/>
      <c r="K1" s="176"/>
      <c r="L1" s="324">
        <v>45839</v>
      </c>
      <c r="M1" s="326"/>
    </row>
    <row r="2" spans="1:13" s="153" customFormat="1" ht="31.2" x14ac:dyDescent="0.3">
      <c r="A2" s="159" t="s">
        <v>1</v>
      </c>
      <c r="B2" s="159" t="s">
        <v>2</v>
      </c>
      <c r="C2" s="159" t="s">
        <v>770</v>
      </c>
      <c r="D2" s="159" t="s">
        <v>552</v>
      </c>
      <c r="E2" s="159" t="s">
        <v>771</v>
      </c>
      <c r="F2" s="159" t="s">
        <v>772</v>
      </c>
      <c r="G2" s="72"/>
      <c r="H2" s="159" t="s">
        <v>770</v>
      </c>
      <c r="I2" s="159" t="s">
        <v>773</v>
      </c>
      <c r="J2" s="159" t="s">
        <v>629</v>
      </c>
      <c r="K2" s="72"/>
      <c r="L2" s="159" t="s">
        <v>770</v>
      </c>
      <c r="M2" s="159" t="s">
        <v>18</v>
      </c>
    </row>
    <row r="3" spans="1:13" ht="24.9" customHeight="1" x14ac:dyDescent="0.3">
      <c r="A3" s="155"/>
      <c r="B3" s="154" t="s">
        <v>575</v>
      </c>
      <c r="C3" s="154"/>
      <c r="D3" s="160" t="s">
        <v>774</v>
      </c>
      <c r="E3" s="160">
        <v>1</v>
      </c>
      <c r="F3" s="289">
        <f>IFERROR(IFERROR(VLOOKUP(B3,'Product Cost - Price'!$C$5:$L$205,10,FALSE),VLOOKUP(B3,'C- Raw Products Costs'!$A$3:$H$72,8,FALSE)),0)</f>
        <v>1.5699999999999998</v>
      </c>
      <c r="H3" s="162">
        <v>120</v>
      </c>
      <c r="I3" s="164">
        <f t="shared" ref="I3:I66" si="0">E3*H3</f>
        <v>120</v>
      </c>
      <c r="J3" s="166">
        <f t="shared" ref="J3:J66" si="1">I3*F3</f>
        <v>188.39999999999998</v>
      </c>
      <c r="L3" s="162">
        <v>240</v>
      </c>
      <c r="M3" s="165">
        <f t="shared" ref="M3:M18" si="2">L3*F3</f>
        <v>376.79999999999995</v>
      </c>
    </row>
    <row r="4" spans="1:13" ht="24.9" customHeight="1" x14ac:dyDescent="0.3">
      <c r="A4" s="155">
        <v>564811</v>
      </c>
      <c r="B4" s="154" t="s">
        <v>380</v>
      </c>
      <c r="C4" s="154"/>
      <c r="D4" s="160"/>
      <c r="E4" s="160"/>
      <c r="F4" s="289">
        <f>IFERROR(IFERROR(VLOOKUP(B4,'Product Cost - Price'!$C$5:$L$205,10,FALSE),VLOOKUP(B4,'C- Raw Products Costs'!$A$3:$H$72,8,FALSE)),0)</f>
        <v>0.46337393364928914</v>
      </c>
      <c r="H4" s="162"/>
      <c r="I4" s="164">
        <f t="shared" si="0"/>
        <v>0</v>
      </c>
      <c r="J4" s="166">
        <f t="shared" si="1"/>
        <v>0</v>
      </c>
      <c r="L4" s="162"/>
      <c r="M4" s="165">
        <f t="shared" si="2"/>
        <v>0</v>
      </c>
    </row>
    <row r="5" spans="1:13" ht="24.9" customHeight="1" x14ac:dyDescent="0.3">
      <c r="A5" s="155"/>
      <c r="B5" s="154" t="s">
        <v>577</v>
      </c>
      <c r="C5" s="154"/>
      <c r="D5" s="160" t="s">
        <v>774</v>
      </c>
      <c r="E5" s="160">
        <v>1</v>
      </c>
      <c r="F5" s="289">
        <f>IFERROR(IFERROR(VLOOKUP(B5,'Product Cost - Price'!$C$5:$L$205,10,FALSE),VLOOKUP(B5,'C- Raw Products Costs'!$A$3:$H$72,8,FALSE)),0)</f>
        <v>1.655</v>
      </c>
      <c r="H5" s="162">
        <v>2000</v>
      </c>
      <c r="I5" s="164">
        <f t="shared" si="0"/>
        <v>2000</v>
      </c>
      <c r="J5" s="166">
        <f t="shared" si="1"/>
        <v>3310</v>
      </c>
      <c r="L5" s="162">
        <v>500</v>
      </c>
      <c r="M5" s="165">
        <f t="shared" si="2"/>
        <v>827.5</v>
      </c>
    </row>
    <row r="6" spans="1:13" ht="24.9" customHeight="1" x14ac:dyDescent="0.3">
      <c r="A6" s="155"/>
      <c r="B6" s="154" t="s">
        <v>579</v>
      </c>
      <c r="C6" s="154"/>
      <c r="D6" s="160"/>
      <c r="E6" s="160"/>
      <c r="F6" s="289">
        <f>IFERROR(IFERROR(VLOOKUP(B6,'Product Cost - Price'!$C$5:$L$205,10,FALSE),VLOOKUP(B6,'C- Raw Products Costs'!$A$3:$H$72,8,FALSE)),0)</f>
        <v>0</v>
      </c>
      <c r="H6" s="162"/>
      <c r="I6" s="164">
        <f t="shared" si="0"/>
        <v>0</v>
      </c>
      <c r="J6" s="166">
        <f t="shared" si="1"/>
        <v>0</v>
      </c>
      <c r="L6" s="162"/>
      <c r="M6" s="165">
        <f t="shared" si="2"/>
        <v>0</v>
      </c>
    </row>
    <row r="7" spans="1:13" ht="24.9" customHeight="1" x14ac:dyDescent="0.3">
      <c r="A7" s="155"/>
      <c r="B7" s="154" t="s">
        <v>146</v>
      </c>
      <c r="C7" s="154"/>
      <c r="D7" s="160" t="s">
        <v>774</v>
      </c>
      <c r="E7" s="160">
        <v>1</v>
      </c>
      <c r="F7" s="289">
        <f>IFERROR(IFERROR(VLOOKUP(B7,'Product Cost - Price'!$C$5:$L$205,10,FALSE),VLOOKUP(B7,'C- Raw Products Costs'!$A$3:$H$72,8,FALSE)),0)</f>
        <v>0.35385</v>
      </c>
      <c r="H7" s="162">
        <v>57840</v>
      </c>
      <c r="I7" s="164">
        <f t="shared" si="0"/>
        <v>57840</v>
      </c>
      <c r="J7" s="166">
        <f t="shared" si="1"/>
        <v>20466.684000000001</v>
      </c>
      <c r="L7" s="162">
        <v>70000</v>
      </c>
      <c r="M7" s="165">
        <f t="shared" si="2"/>
        <v>24769.5</v>
      </c>
    </row>
    <row r="8" spans="1:13" ht="24.9" customHeight="1" x14ac:dyDescent="0.3">
      <c r="A8" s="155">
        <v>383789</v>
      </c>
      <c r="B8" s="154" t="s">
        <v>145</v>
      </c>
      <c r="C8" s="154"/>
      <c r="D8" s="160" t="s">
        <v>775</v>
      </c>
      <c r="E8" s="160">
        <v>20</v>
      </c>
      <c r="F8" s="289">
        <f>IFERROR(IFERROR(VLOOKUP(B8,'Product Cost - Price'!$C$5:$L$205,10,FALSE),VLOOKUP(B8,'C- Raw Products Costs'!$A$3:$H$72,8,FALSE)),0)</f>
        <v>0.35385</v>
      </c>
      <c r="H8" s="162">
        <v>86</v>
      </c>
      <c r="I8" s="164">
        <f t="shared" si="0"/>
        <v>1720</v>
      </c>
      <c r="J8" s="166">
        <f t="shared" si="1"/>
        <v>608.62199999999996</v>
      </c>
      <c r="L8" s="162">
        <v>1120</v>
      </c>
      <c r="M8" s="165">
        <f t="shared" si="2"/>
        <v>396.31200000000001</v>
      </c>
    </row>
    <row r="9" spans="1:13" ht="24.9" customHeight="1" x14ac:dyDescent="0.3">
      <c r="A9" s="155">
        <v>503634</v>
      </c>
      <c r="B9" s="154" t="s">
        <v>251</v>
      </c>
      <c r="C9" s="154"/>
      <c r="D9" s="160" t="s">
        <v>774</v>
      </c>
      <c r="E9" s="160">
        <v>1</v>
      </c>
      <c r="F9" s="289">
        <f>IFERROR(IFERROR(VLOOKUP(B9,'Product Cost - Price'!$C$5:$L$205,10,FALSE),VLOOKUP(B9,'C- Raw Products Costs'!$A$3:$H$72,8,FALSE)),0)</f>
        <v>0.35385</v>
      </c>
      <c r="H9" s="162"/>
      <c r="I9" s="164">
        <f t="shared" si="0"/>
        <v>0</v>
      </c>
      <c r="J9" s="166">
        <f t="shared" si="1"/>
        <v>0</v>
      </c>
      <c r="L9" s="162">
        <v>1000</v>
      </c>
      <c r="M9" s="165">
        <f t="shared" si="2"/>
        <v>353.85</v>
      </c>
    </row>
    <row r="10" spans="1:13" ht="24.9" customHeight="1" x14ac:dyDescent="0.3">
      <c r="A10" s="155">
        <v>556572</v>
      </c>
      <c r="B10" s="154" t="s">
        <v>318</v>
      </c>
      <c r="C10" s="154"/>
      <c r="D10" s="160"/>
      <c r="E10" s="160"/>
      <c r="F10" s="289">
        <f>IFERROR(IFERROR(VLOOKUP(B10,'Product Cost - Price'!$C$5:$L$205,10,FALSE),VLOOKUP(B10,'C- Raw Products Costs'!$A$3:$H$72,8,FALSE)),0)</f>
        <v>0</v>
      </c>
      <c r="H10" s="162"/>
      <c r="I10" s="164">
        <f t="shared" si="0"/>
        <v>0</v>
      </c>
      <c r="J10" s="166">
        <f t="shared" si="1"/>
        <v>0</v>
      </c>
      <c r="L10" s="162"/>
      <c r="M10" s="165">
        <f t="shared" si="2"/>
        <v>0</v>
      </c>
    </row>
    <row r="11" spans="1:13" ht="24.9" customHeight="1" x14ac:dyDescent="0.3">
      <c r="A11" s="155"/>
      <c r="B11" s="154" t="s">
        <v>134</v>
      </c>
      <c r="C11" s="154"/>
      <c r="D11" s="160" t="s">
        <v>776</v>
      </c>
      <c r="E11" s="160">
        <v>1000</v>
      </c>
      <c r="F11" s="289">
        <f>IFERROR(IFERROR(VLOOKUP(B11,'Product Cost - Price'!$C$5:$L$205,10,FALSE),VLOOKUP(B11,'C- Raw Products Costs'!$A$3:$H$72,8,FALSE)),0)</f>
        <v>0.14000000000000001</v>
      </c>
      <c r="H11" s="162">
        <v>198</v>
      </c>
      <c r="I11" s="164">
        <f t="shared" si="0"/>
        <v>198000</v>
      </c>
      <c r="J11" s="166">
        <f t="shared" si="1"/>
        <v>27720.000000000004</v>
      </c>
      <c r="L11" s="162">
        <v>168000</v>
      </c>
      <c r="M11" s="165">
        <f t="shared" si="2"/>
        <v>23520.000000000004</v>
      </c>
    </row>
    <row r="12" spans="1:13" ht="24.9" customHeight="1" x14ac:dyDescent="0.3">
      <c r="A12" s="155">
        <v>380862</v>
      </c>
      <c r="B12" s="154" t="s">
        <v>133</v>
      </c>
      <c r="C12" s="154"/>
      <c r="D12" s="160" t="s">
        <v>777</v>
      </c>
      <c r="E12" s="160">
        <v>1</v>
      </c>
      <c r="F12" s="289">
        <f>IFERROR(IFERROR(VLOOKUP(B12,'Product Cost - Price'!$C$5:$L$205,10,FALSE),VLOOKUP(B12,'C- Raw Products Costs'!$A$3:$H$72,8,FALSE)),0)</f>
        <v>2.7</v>
      </c>
      <c r="H12" s="162">
        <v>336</v>
      </c>
      <c r="I12" s="164">
        <f t="shared" si="0"/>
        <v>336</v>
      </c>
      <c r="J12" s="166">
        <f t="shared" si="1"/>
        <v>907.2</v>
      </c>
      <c r="L12" s="162">
        <v>210</v>
      </c>
      <c r="M12" s="165">
        <f t="shared" si="2"/>
        <v>567</v>
      </c>
    </row>
    <row r="13" spans="1:13" ht="24.9" customHeight="1" x14ac:dyDescent="0.3">
      <c r="A13" s="155"/>
      <c r="B13" s="154" t="s">
        <v>154</v>
      </c>
      <c r="C13" s="154"/>
      <c r="D13" s="160"/>
      <c r="E13" s="160"/>
      <c r="F13" s="289">
        <f>IFERROR(IFERROR(VLOOKUP(B13,'Product Cost - Price'!$C$5:$L$205,10,FALSE),VLOOKUP(B13,'C- Raw Products Costs'!$A$3:$H$72,8,FALSE)),0)</f>
        <v>1.4742</v>
      </c>
      <c r="H13" s="162"/>
      <c r="I13" s="164">
        <f t="shared" si="0"/>
        <v>0</v>
      </c>
      <c r="J13" s="166">
        <f t="shared" si="1"/>
        <v>0</v>
      </c>
      <c r="L13" s="162"/>
      <c r="M13" s="165">
        <f t="shared" si="2"/>
        <v>0</v>
      </c>
    </row>
    <row r="14" spans="1:13" ht="24.9" customHeight="1" x14ac:dyDescent="0.3">
      <c r="A14" s="155">
        <v>383795</v>
      </c>
      <c r="B14" s="154" t="s">
        <v>153</v>
      </c>
      <c r="C14" s="154"/>
      <c r="D14" s="160" t="s">
        <v>775</v>
      </c>
      <c r="E14" s="160">
        <v>20</v>
      </c>
      <c r="F14" s="289">
        <f>IFERROR(IFERROR(VLOOKUP(B14,'Product Cost - Price'!$C$5:$L$205,10,FALSE),VLOOKUP(B14,'C- Raw Products Costs'!$A$3:$H$72,8,FALSE)),0)</f>
        <v>1.4742</v>
      </c>
      <c r="H14" s="162">
        <v>16</v>
      </c>
      <c r="I14" s="164">
        <f t="shared" si="0"/>
        <v>320</v>
      </c>
      <c r="J14" s="166">
        <f t="shared" si="1"/>
        <v>471.74399999999997</v>
      </c>
      <c r="L14" s="162">
        <v>2700</v>
      </c>
      <c r="M14" s="165">
        <f t="shared" si="2"/>
        <v>3980.3399999999997</v>
      </c>
    </row>
    <row r="15" spans="1:13" ht="24.9" customHeight="1" x14ac:dyDescent="0.3">
      <c r="A15" s="155">
        <v>509150</v>
      </c>
      <c r="B15" s="154" t="s">
        <v>259</v>
      </c>
      <c r="C15" s="154"/>
      <c r="D15" s="160" t="s">
        <v>774</v>
      </c>
      <c r="E15" s="160">
        <v>1</v>
      </c>
      <c r="F15" s="289">
        <f>IFERROR(IFERROR(VLOOKUP(B15,'Product Cost - Price'!$C$5:$L$205,10,FALSE),VLOOKUP(B15,'C- Raw Products Costs'!$A$3:$H$72,8,FALSE)),0)</f>
        <v>1.4742</v>
      </c>
      <c r="H15" s="162">
        <v>1650</v>
      </c>
      <c r="I15" s="164">
        <f t="shared" si="0"/>
        <v>1650</v>
      </c>
      <c r="J15" s="166">
        <f t="shared" si="1"/>
        <v>2432.4299999999998</v>
      </c>
      <c r="L15" s="162">
        <v>8800</v>
      </c>
      <c r="M15" s="165">
        <f t="shared" si="2"/>
        <v>12972.96</v>
      </c>
    </row>
    <row r="16" spans="1:13" ht="24.9" customHeight="1" x14ac:dyDescent="0.3">
      <c r="A16" s="155"/>
      <c r="B16" s="154" t="s">
        <v>580</v>
      </c>
      <c r="C16" s="154"/>
      <c r="D16" s="160" t="s">
        <v>774</v>
      </c>
      <c r="E16" s="160">
        <v>1</v>
      </c>
      <c r="F16" s="289">
        <f>IFERROR(IFERROR(VLOOKUP(B16,'Product Cost - Price'!$C$5:$L$205,10,FALSE),VLOOKUP(B16,'C- Raw Products Costs'!$A$3:$H$72,8,FALSE)),0)</f>
        <v>0.97499999999999998</v>
      </c>
      <c r="H16" s="162">
        <v>560</v>
      </c>
      <c r="I16" s="164">
        <f t="shared" si="0"/>
        <v>560</v>
      </c>
      <c r="J16" s="166">
        <f t="shared" si="1"/>
        <v>546</v>
      </c>
      <c r="L16" s="162">
        <v>420</v>
      </c>
      <c r="M16" s="165">
        <f t="shared" si="2"/>
        <v>409.5</v>
      </c>
    </row>
    <row r="17" spans="1:13" ht="24.9" customHeight="1" x14ac:dyDescent="0.3">
      <c r="A17" s="155"/>
      <c r="B17" s="154" t="s">
        <v>582</v>
      </c>
      <c r="C17" s="154"/>
      <c r="D17" s="160" t="s">
        <v>774</v>
      </c>
      <c r="E17" s="160">
        <v>1</v>
      </c>
      <c r="F17" s="289">
        <f>IFERROR(IFERROR(VLOOKUP(B17,'Product Cost - Price'!$C$5:$L$205,10,FALSE),VLOOKUP(B17,'C- Raw Products Costs'!$A$3:$H$72,8,FALSE)),0)</f>
        <v>0.95599999999999996</v>
      </c>
      <c r="H17" s="162">
        <v>3500</v>
      </c>
      <c r="I17" s="164">
        <f t="shared" si="0"/>
        <v>3500</v>
      </c>
      <c r="J17" s="166">
        <f t="shared" si="1"/>
        <v>3346</v>
      </c>
      <c r="L17" s="162">
        <v>2000</v>
      </c>
      <c r="M17" s="165">
        <f t="shared" si="2"/>
        <v>1912</v>
      </c>
    </row>
    <row r="18" spans="1:13" ht="24.9" customHeight="1" x14ac:dyDescent="0.3">
      <c r="A18" s="155"/>
      <c r="B18" s="154" t="s">
        <v>488</v>
      </c>
      <c r="C18" s="154"/>
      <c r="D18" s="160" t="s">
        <v>775</v>
      </c>
      <c r="E18" s="160">
        <v>22</v>
      </c>
      <c r="F18" s="289">
        <f>IFERROR(IFERROR(VLOOKUP(B18,'Product Cost - Price'!$C$5:$L$205,10,FALSE),VLOOKUP(B18,'C- Raw Products Costs'!$A$3:$H$72,8,FALSE)),0)</f>
        <v>1.0588648648648651</v>
      </c>
      <c r="H18" s="162">
        <v>22</v>
      </c>
      <c r="I18" s="164">
        <f t="shared" si="0"/>
        <v>484</v>
      </c>
      <c r="J18" s="166">
        <f t="shared" si="1"/>
        <v>512.49059459459465</v>
      </c>
      <c r="L18" s="162">
        <v>748</v>
      </c>
      <c r="M18" s="165">
        <f t="shared" si="2"/>
        <v>792.03091891891904</v>
      </c>
    </row>
    <row r="19" spans="1:13" ht="24.9" customHeight="1" x14ac:dyDescent="0.3">
      <c r="A19" s="155"/>
      <c r="B19" s="154" t="s">
        <v>169</v>
      </c>
      <c r="C19" s="154"/>
      <c r="D19" s="160"/>
      <c r="E19" s="160"/>
      <c r="F19" s="289">
        <f>IFERROR(IFERROR(VLOOKUP(B19,'Product Cost - Price'!$C$5:$L$205,10,FALSE),VLOOKUP(B19,'C- Raw Products Costs'!$A$3:$H$72,8,FALSE)),0)</f>
        <v>1.9698</v>
      </c>
      <c r="H19" s="162"/>
      <c r="I19" s="164">
        <f t="shared" si="0"/>
        <v>0</v>
      </c>
      <c r="J19" s="166">
        <f t="shared" si="1"/>
        <v>0</v>
      </c>
      <c r="L19" s="162"/>
      <c r="M19" s="165"/>
    </row>
    <row r="20" spans="1:13" ht="24.9" customHeight="1" x14ac:dyDescent="0.3">
      <c r="A20" s="155">
        <v>383802</v>
      </c>
      <c r="B20" s="154" t="s">
        <v>168</v>
      </c>
      <c r="C20" s="154"/>
      <c r="D20" s="160" t="s">
        <v>775</v>
      </c>
      <c r="E20" s="160">
        <v>25</v>
      </c>
      <c r="F20" s="289">
        <f>IFERROR(IFERROR(VLOOKUP(B20,'Product Cost - Price'!$C$5:$L$205,10,FALSE),VLOOKUP(B20,'C- Raw Products Costs'!$A$3:$H$72,8,FALSE)),0)</f>
        <v>1.9698</v>
      </c>
      <c r="H20" s="162">
        <v>14</v>
      </c>
      <c r="I20" s="164">
        <f t="shared" si="0"/>
        <v>350</v>
      </c>
      <c r="J20" s="166">
        <f t="shared" si="1"/>
        <v>689.43</v>
      </c>
      <c r="L20" s="162">
        <v>450</v>
      </c>
      <c r="M20" s="165">
        <f t="shared" ref="M20:M83" si="3">L20*F20</f>
        <v>886.41</v>
      </c>
    </row>
    <row r="21" spans="1:13" ht="24.9" customHeight="1" x14ac:dyDescent="0.3">
      <c r="A21" s="155">
        <v>546518</v>
      </c>
      <c r="B21" s="154" t="s">
        <v>305</v>
      </c>
      <c r="C21" s="154"/>
      <c r="D21" s="160" t="s">
        <v>775</v>
      </c>
      <c r="E21" s="160">
        <v>20</v>
      </c>
      <c r="F21" s="289">
        <f>IFERROR(IFERROR(VLOOKUP(B21,'Product Cost - Price'!$C$5:$L$205,10,FALSE),VLOOKUP(B21,'C- Raw Products Costs'!$A$3:$H$72,8,FALSE)),0)</f>
        <v>1.014923076923077</v>
      </c>
      <c r="H21" s="162">
        <v>32</v>
      </c>
      <c r="I21" s="164">
        <f t="shared" si="0"/>
        <v>640</v>
      </c>
      <c r="J21" s="166">
        <f t="shared" si="1"/>
        <v>649.55076923076933</v>
      </c>
      <c r="L21" s="162">
        <v>1540</v>
      </c>
      <c r="M21" s="165">
        <f t="shared" si="3"/>
        <v>1562.9815384615385</v>
      </c>
    </row>
    <row r="22" spans="1:13" ht="24.9" customHeight="1" x14ac:dyDescent="0.3">
      <c r="A22" s="155">
        <v>540816</v>
      </c>
      <c r="B22" s="154" t="s">
        <v>278</v>
      </c>
      <c r="C22" s="154"/>
      <c r="D22" s="160"/>
      <c r="E22" s="160"/>
      <c r="F22" s="289">
        <f>IFERROR(IFERROR(VLOOKUP(B22,'Product Cost - Price'!$C$5:$L$205,10,FALSE),VLOOKUP(B22,'C- Raw Products Costs'!$A$3:$H$72,8,FALSE)),0)</f>
        <v>1.014923076923077</v>
      </c>
      <c r="H22" s="162"/>
      <c r="I22" s="164">
        <f t="shared" si="0"/>
        <v>0</v>
      </c>
      <c r="J22" s="166">
        <f t="shared" si="1"/>
        <v>0</v>
      </c>
      <c r="L22" s="162"/>
      <c r="M22" s="165">
        <f t="shared" si="3"/>
        <v>0</v>
      </c>
    </row>
    <row r="23" spans="1:13" ht="24.9" customHeight="1" x14ac:dyDescent="0.3">
      <c r="A23" s="155"/>
      <c r="B23" s="154" t="s">
        <v>583</v>
      </c>
      <c r="C23" s="154"/>
      <c r="D23" s="160" t="s">
        <v>774</v>
      </c>
      <c r="E23" s="160">
        <v>1</v>
      </c>
      <c r="F23" s="289">
        <f>IFERROR(IFERROR(VLOOKUP(B23,'Product Cost - Price'!$C$5:$L$205,10,FALSE),VLOOKUP(B23,'C- Raw Products Costs'!$A$3:$H$72,8,FALSE)),0)</f>
        <v>0.78</v>
      </c>
      <c r="H23" s="162">
        <v>700</v>
      </c>
      <c r="I23" s="164">
        <f t="shared" si="0"/>
        <v>700</v>
      </c>
      <c r="J23" s="166">
        <f t="shared" si="1"/>
        <v>546</v>
      </c>
      <c r="L23" s="162">
        <v>2500</v>
      </c>
      <c r="M23" s="165">
        <f t="shared" si="3"/>
        <v>1950</v>
      </c>
    </row>
    <row r="24" spans="1:13" ht="24.9" customHeight="1" x14ac:dyDescent="0.3">
      <c r="A24" s="155"/>
      <c r="B24" s="154" t="s">
        <v>157</v>
      </c>
      <c r="C24" s="154"/>
      <c r="D24" s="160" t="s">
        <v>774</v>
      </c>
      <c r="E24" s="160">
        <v>1</v>
      </c>
      <c r="F24" s="289">
        <f>IFERROR(IFERROR(VLOOKUP(B24,'Product Cost - Price'!$C$5:$L$205,10,FALSE),VLOOKUP(B24,'C- Raw Products Costs'!$A$3:$H$72,8,FALSE)),0)</f>
        <v>0.66300000000000003</v>
      </c>
      <c r="H24" s="162">
        <v>7100</v>
      </c>
      <c r="I24" s="164">
        <f t="shared" si="0"/>
        <v>7100</v>
      </c>
      <c r="J24" s="166">
        <f t="shared" si="1"/>
        <v>4707.3</v>
      </c>
      <c r="L24" s="162">
        <v>6200</v>
      </c>
      <c r="M24" s="165">
        <f t="shared" si="3"/>
        <v>4110.6000000000004</v>
      </c>
    </row>
    <row r="25" spans="1:13" ht="24.9" customHeight="1" x14ac:dyDescent="0.3">
      <c r="A25" s="155">
        <v>383797</v>
      </c>
      <c r="B25" s="154" t="s">
        <v>156</v>
      </c>
      <c r="C25" s="154"/>
      <c r="D25" s="160" t="s">
        <v>775</v>
      </c>
      <c r="E25" s="160">
        <v>20</v>
      </c>
      <c r="F25" s="289">
        <f>IFERROR(IFERROR(VLOOKUP(B25,'Product Cost - Price'!$C$5:$L$205,10,FALSE),VLOOKUP(B25,'C- Raw Products Costs'!$A$3:$H$72,8,FALSE)),0)</f>
        <v>0.66300000000000003</v>
      </c>
      <c r="H25" s="162">
        <v>83</v>
      </c>
      <c r="I25" s="164">
        <f t="shared" si="0"/>
        <v>1660</v>
      </c>
      <c r="J25" s="166">
        <f t="shared" si="1"/>
        <v>1100.5800000000002</v>
      </c>
      <c r="L25" s="162">
        <v>1660</v>
      </c>
      <c r="M25" s="165">
        <f t="shared" si="3"/>
        <v>1100.5800000000002</v>
      </c>
    </row>
    <row r="26" spans="1:13" ht="24.9" customHeight="1" x14ac:dyDescent="0.3">
      <c r="A26" s="155"/>
      <c r="B26" s="154" t="s">
        <v>584</v>
      </c>
      <c r="C26" s="154"/>
      <c r="D26" s="160" t="s">
        <v>775</v>
      </c>
      <c r="E26" s="160">
        <v>20</v>
      </c>
      <c r="F26" s="289">
        <f>IFERROR(IFERROR(VLOOKUP(B26,'Product Cost - Price'!$C$5:$L$205,10,FALSE),VLOOKUP(B26,'C- Raw Products Costs'!$A$3:$H$72,8,FALSE)),0)</f>
        <v>1.06</v>
      </c>
      <c r="H26" s="162">
        <v>6</v>
      </c>
      <c r="I26" s="164">
        <f t="shared" si="0"/>
        <v>120</v>
      </c>
      <c r="J26" s="166">
        <f t="shared" si="1"/>
        <v>127.2</v>
      </c>
      <c r="L26" s="162"/>
      <c r="M26" s="165">
        <f t="shared" si="3"/>
        <v>0</v>
      </c>
    </row>
    <row r="27" spans="1:13" ht="24.9" customHeight="1" x14ac:dyDescent="0.3">
      <c r="A27" s="155"/>
      <c r="B27" s="154" t="s">
        <v>585</v>
      </c>
      <c r="C27" s="154"/>
      <c r="D27" s="160" t="s">
        <v>778</v>
      </c>
      <c r="E27" s="160">
        <v>1</v>
      </c>
      <c r="F27" s="289">
        <f>IFERROR(IFERROR(VLOOKUP(B27,'Product Cost - Price'!$C$5:$L$205,10,FALSE),VLOOKUP(B27,'C- Raw Products Costs'!$A$3:$H$72,8,FALSE)),0)</f>
        <v>2.5</v>
      </c>
      <c r="H27" s="162">
        <v>500</v>
      </c>
      <c r="I27" s="164">
        <f t="shared" si="0"/>
        <v>500</v>
      </c>
      <c r="J27" s="166">
        <f t="shared" si="1"/>
        <v>1250</v>
      </c>
      <c r="L27" s="162">
        <v>200</v>
      </c>
      <c r="M27" s="165">
        <f t="shared" si="3"/>
        <v>500</v>
      </c>
    </row>
    <row r="28" spans="1:13" ht="24.9" customHeight="1" x14ac:dyDescent="0.3">
      <c r="A28" s="155">
        <v>568239</v>
      </c>
      <c r="B28" s="154" t="s">
        <v>394</v>
      </c>
      <c r="C28" s="154"/>
      <c r="D28" s="160" t="s">
        <v>775</v>
      </c>
      <c r="E28" s="160">
        <v>20</v>
      </c>
      <c r="F28" s="289">
        <f>IFERROR(IFERROR(VLOOKUP(B28,'Product Cost - Price'!$C$5:$L$205,10,FALSE),VLOOKUP(B28,'C- Raw Products Costs'!$A$3:$H$72,8,FALSE)),0)</f>
        <v>0.48703924999999998</v>
      </c>
      <c r="H28" s="162">
        <v>638</v>
      </c>
      <c r="I28" s="164">
        <f t="shared" si="0"/>
        <v>12760</v>
      </c>
      <c r="J28" s="166">
        <f t="shared" si="1"/>
        <v>6214.6208299999998</v>
      </c>
      <c r="L28" s="162">
        <v>3180</v>
      </c>
      <c r="M28" s="165">
        <f t="shared" si="3"/>
        <v>1548.784815</v>
      </c>
    </row>
    <row r="29" spans="1:13" ht="24.9" customHeight="1" x14ac:dyDescent="0.3">
      <c r="A29" s="155"/>
      <c r="B29" s="154" t="s">
        <v>54</v>
      </c>
      <c r="C29" s="154"/>
      <c r="D29" s="160"/>
      <c r="E29" s="160"/>
      <c r="F29" s="289">
        <f>IFERROR(IFERROR(VLOOKUP(B29,'Product Cost - Price'!$C$5:$L$205,10,FALSE),VLOOKUP(B29,'C- Raw Products Costs'!$A$3:$H$72,8,FALSE)),0)</f>
        <v>0</v>
      </c>
      <c r="H29" s="162"/>
      <c r="I29" s="164">
        <f t="shared" si="0"/>
        <v>0</v>
      </c>
      <c r="J29" s="166">
        <f t="shared" si="1"/>
        <v>0</v>
      </c>
      <c r="L29" s="162"/>
      <c r="M29" s="165">
        <f t="shared" si="3"/>
        <v>0</v>
      </c>
    </row>
    <row r="30" spans="1:13" ht="24.9" customHeight="1" x14ac:dyDescent="0.3">
      <c r="A30" s="155">
        <v>575716</v>
      </c>
      <c r="B30" s="154" t="s">
        <v>398</v>
      </c>
      <c r="C30" s="154"/>
      <c r="D30" s="160"/>
      <c r="E30" s="160"/>
      <c r="F30" s="289">
        <f>IFERROR(IFERROR(VLOOKUP(B30,'Product Cost - Price'!$C$5:$L$205,10,FALSE),VLOOKUP(B30,'C- Raw Products Costs'!$A$3:$H$72,8,FALSE)),0)</f>
        <v>0</v>
      </c>
      <c r="H30" s="162"/>
      <c r="I30" s="164">
        <f t="shared" si="0"/>
        <v>0</v>
      </c>
      <c r="J30" s="166">
        <f t="shared" si="1"/>
        <v>0</v>
      </c>
      <c r="L30" s="162"/>
      <c r="M30" s="165">
        <f t="shared" si="3"/>
        <v>0</v>
      </c>
    </row>
    <row r="31" spans="1:13" ht="24.9" customHeight="1" x14ac:dyDescent="0.3">
      <c r="A31" s="155">
        <v>575717</v>
      </c>
      <c r="B31" s="154" t="s">
        <v>400</v>
      </c>
      <c r="C31" s="154"/>
      <c r="D31" s="160"/>
      <c r="E31" s="160"/>
      <c r="F31" s="289">
        <f>IFERROR(IFERROR(VLOOKUP(B31,'Product Cost - Price'!$C$5:$L$205,10,FALSE),VLOOKUP(B31,'C- Raw Products Costs'!$A$3:$H$72,8,FALSE)),0)</f>
        <v>0</v>
      </c>
      <c r="H31" s="162"/>
      <c r="I31" s="164">
        <f t="shared" si="0"/>
        <v>0</v>
      </c>
      <c r="J31" s="166">
        <f t="shared" si="1"/>
        <v>0</v>
      </c>
      <c r="L31" s="162"/>
      <c r="M31" s="165">
        <f t="shared" si="3"/>
        <v>0</v>
      </c>
    </row>
    <row r="32" spans="1:13" ht="24.9" customHeight="1" x14ac:dyDescent="0.3">
      <c r="A32" s="155">
        <v>547537</v>
      </c>
      <c r="B32" s="154" t="s">
        <v>314</v>
      </c>
      <c r="C32" s="154"/>
      <c r="D32" s="160" t="s">
        <v>775</v>
      </c>
      <c r="E32" s="160">
        <v>20</v>
      </c>
      <c r="F32" s="289">
        <f>IFERROR(IFERROR(VLOOKUP(B32,'Product Cost - Price'!$C$5:$L$205,10,FALSE),VLOOKUP(B32,'C- Raw Products Costs'!$A$3:$H$72,8,FALSE)),0)</f>
        <v>0.35385</v>
      </c>
      <c r="H32" s="162">
        <v>61</v>
      </c>
      <c r="I32" s="164">
        <f t="shared" si="0"/>
        <v>1220</v>
      </c>
      <c r="J32" s="166">
        <f>I32*F32</f>
        <v>431.697</v>
      </c>
      <c r="L32" s="162">
        <v>1300</v>
      </c>
      <c r="M32" s="165">
        <f t="shared" si="3"/>
        <v>460.005</v>
      </c>
    </row>
    <row r="33" spans="1:13" ht="24.9" customHeight="1" x14ac:dyDescent="0.3">
      <c r="A33" s="155">
        <v>516887</v>
      </c>
      <c r="B33" s="154" t="s">
        <v>263</v>
      </c>
      <c r="C33" s="154"/>
      <c r="D33" s="160" t="s">
        <v>775</v>
      </c>
      <c r="E33" s="160">
        <v>20</v>
      </c>
      <c r="F33" s="289">
        <f>IFERROR(IFERROR(VLOOKUP(B33,'Product Cost - Price'!$C$5:$L$205,10,FALSE),VLOOKUP(B33,'C- Raw Products Costs'!$A$3:$H$72,8,FALSE)),0)</f>
        <v>0.77700000000000002</v>
      </c>
      <c r="H33" s="162">
        <v>262</v>
      </c>
      <c r="I33" s="164">
        <f t="shared" si="0"/>
        <v>5240</v>
      </c>
      <c r="J33" s="166">
        <f t="shared" si="1"/>
        <v>4071.48</v>
      </c>
      <c r="L33" s="162">
        <v>5740</v>
      </c>
      <c r="M33" s="165">
        <f t="shared" si="3"/>
        <v>4459.9800000000005</v>
      </c>
    </row>
    <row r="34" spans="1:13" ht="24.9" customHeight="1" x14ac:dyDescent="0.3">
      <c r="A34" s="155">
        <v>559574</v>
      </c>
      <c r="B34" s="154" t="s">
        <v>322</v>
      </c>
      <c r="C34" s="154"/>
      <c r="D34" s="160" t="s">
        <v>774</v>
      </c>
      <c r="E34" s="160">
        <v>1</v>
      </c>
      <c r="F34" s="289">
        <f>IFERROR(IFERROR(VLOOKUP(B34,'Product Cost - Price'!$C$5:$L$205,10,FALSE),VLOOKUP(B34,'C- Raw Products Costs'!$A$3:$H$72,8,FALSE)),0)</f>
        <v>0.77700000000000002</v>
      </c>
      <c r="H34" s="162">
        <v>2000</v>
      </c>
      <c r="I34" s="164">
        <f t="shared" si="0"/>
        <v>2000</v>
      </c>
      <c r="J34" s="166">
        <f t="shared" si="1"/>
        <v>1554</v>
      </c>
      <c r="L34" s="162">
        <v>1520</v>
      </c>
      <c r="M34" s="165">
        <f t="shared" si="3"/>
        <v>1181.04</v>
      </c>
    </row>
    <row r="35" spans="1:13" ht="24.9" customHeight="1" x14ac:dyDescent="0.3">
      <c r="A35" s="155">
        <v>497182</v>
      </c>
      <c r="B35" s="154" t="s">
        <v>230</v>
      </c>
      <c r="C35" s="154"/>
      <c r="D35" s="160" t="s">
        <v>775</v>
      </c>
      <c r="E35" s="160">
        <v>20</v>
      </c>
      <c r="F35" s="289">
        <f>IFERROR(IFERROR(VLOOKUP(B35,'Product Cost - Price'!$C$5:$L$205,10,FALSE),VLOOKUP(B35,'C- Raw Products Costs'!$A$3:$H$72,8,FALSE)),0)</f>
        <v>0.38324999999999998</v>
      </c>
      <c r="H35" s="162">
        <v>266</v>
      </c>
      <c r="I35" s="164">
        <f t="shared" si="0"/>
        <v>5320</v>
      </c>
      <c r="J35" s="166">
        <f t="shared" si="1"/>
        <v>2038.8899999999999</v>
      </c>
      <c r="L35" s="162">
        <v>4360</v>
      </c>
      <c r="M35" s="165">
        <f t="shared" si="3"/>
        <v>1670.9699999999998</v>
      </c>
    </row>
    <row r="36" spans="1:13" ht="24.9" customHeight="1" x14ac:dyDescent="0.3">
      <c r="A36" s="155">
        <v>504508</v>
      </c>
      <c r="B36" s="154" t="s">
        <v>257</v>
      </c>
      <c r="C36" s="154"/>
      <c r="D36" s="160" t="s">
        <v>774</v>
      </c>
      <c r="E36" s="160">
        <v>1</v>
      </c>
      <c r="F36" s="289">
        <f>IFERROR(IFERROR(VLOOKUP(B36,'Product Cost - Price'!$C$5:$L$205,10,FALSE),VLOOKUP(B36,'C- Raw Products Costs'!$A$3:$H$72,8,FALSE)),0)</f>
        <v>0.38324999999999998</v>
      </c>
      <c r="H36" s="162">
        <v>600</v>
      </c>
      <c r="I36" s="164">
        <f t="shared" si="0"/>
        <v>600</v>
      </c>
      <c r="J36" s="166">
        <f t="shared" si="1"/>
        <v>229.95</v>
      </c>
      <c r="L36" s="162">
        <v>150</v>
      </c>
      <c r="M36" s="165">
        <f t="shared" si="3"/>
        <v>57.487499999999997</v>
      </c>
    </row>
    <row r="37" spans="1:13" ht="24.9" customHeight="1" x14ac:dyDescent="0.3">
      <c r="A37" s="155">
        <v>547340</v>
      </c>
      <c r="B37" s="154" t="s">
        <v>312</v>
      </c>
      <c r="C37" s="154"/>
      <c r="D37" s="160" t="s">
        <v>775</v>
      </c>
      <c r="E37" s="160">
        <v>20</v>
      </c>
      <c r="F37" s="289">
        <f>IFERROR(IFERROR(VLOOKUP(B37,'Product Cost - Price'!$C$5:$L$205,10,FALSE),VLOOKUP(B37,'C- Raw Products Costs'!$A$3:$H$72,8,FALSE)),0)</f>
        <v>0.504</v>
      </c>
      <c r="H37" s="162">
        <v>24</v>
      </c>
      <c r="I37" s="164">
        <f t="shared" si="0"/>
        <v>480</v>
      </c>
      <c r="J37" s="166">
        <f t="shared" si="1"/>
        <v>241.92000000000002</v>
      </c>
      <c r="L37" s="162">
        <v>560</v>
      </c>
      <c r="M37" s="165">
        <f t="shared" si="3"/>
        <v>282.24</v>
      </c>
    </row>
    <row r="38" spans="1:13" ht="24.9" customHeight="1" x14ac:dyDescent="0.3">
      <c r="A38" s="155">
        <v>555693</v>
      </c>
      <c r="B38" s="154" t="s">
        <v>316</v>
      </c>
      <c r="C38" s="154"/>
      <c r="D38" s="160"/>
      <c r="E38" s="160"/>
      <c r="F38" s="289">
        <f>IFERROR(IFERROR(VLOOKUP(B38,'Product Cost - Price'!$C$5:$L$205,10,FALSE),VLOOKUP(B38,'C- Raw Products Costs'!$A$3:$H$72,8,FALSE)),0)</f>
        <v>0.37275000000000003</v>
      </c>
      <c r="H38" s="162"/>
      <c r="I38" s="164">
        <f t="shared" si="0"/>
        <v>0</v>
      </c>
      <c r="J38" s="166">
        <f t="shared" si="1"/>
        <v>0</v>
      </c>
      <c r="L38" s="162"/>
      <c r="M38" s="165">
        <f t="shared" si="3"/>
        <v>0</v>
      </c>
    </row>
    <row r="39" spans="1:13" ht="24.9" customHeight="1" x14ac:dyDescent="0.3">
      <c r="A39" s="155">
        <v>403935</v>
      </c>
      <c r="B39" s="154" t="s">
        <v>60</v>
      </c>
      <c r="C39" s="154"/>
      <c r="D39" s="160"/>
      <c r="E39" s="160"/>
      <c r="F39" s="289">
        <f>IFERROR(IFERROR(VLOOKUP(B39,'Product Cost - Price'!$C$5:$L$205,10,FALSE),VLOOKUP(B39,'C- Raw Products Costs'!$A$3:$H$72,8,FALSE)),0)</f>
        <v>0</v>
      </c>
      <c r="H39" s="162"/>
      <c r="I39" s="164">
        <f t="shared" si="0"/>
        <v>0</v>
      </c>
      <c r="J39" s="166">
        <f t="shared" si="1"/>
        <v>0</v>
      </c>
      <c r="L39" s="162"/>
      <c r="M39" s="165">
        <f t="shared" si="3"/>
        <v>0</v>
      </c>
    </row>
    <row r="40" spans="1:13" ht="24.9" customHeight="1" x14ac:dyDescent="0.3">
      <c r="A40" s="155"/>
      <c r="B40" s="154" t="s">
        <v>586</v>
      </c>
      <c r="C40" s="154"/>
      <c r="D40" s="160"/>
      <c r="E40" s="160"/>
      <c r="F40" s="289">
        <f>IFERROR(IFERROR(VLOOKUP(B40,'Product Cost - Price'!$C$5:$L$205,10,FALSE),VLOOKUP(B40,'C- Raw Products Costs'!$A$3:$H$72,8,FALSE)),0)</f>
        <v>2.2999999999999998</v>
      </c>
      <c r="H40" s="162"/>
      <c r="I40" s="164">
        <f t="shared" si="0"/>
        <v>0</v>
      </c>
      <c r="J40" s="166">
        <f t="shared" si="1"/>
        <v>0</v>
      </c>
      <c r="L40" s="162"/>
      <c r="M40" s="165">
        <f t="shared" si="3"/>
        <v>0</v>
      </c>
    </row>
    <row r="41" spans="1:13" ht="24.9" customHeight="1" x14ac:dyDescent="0.3">
      <c r="A41" s="155"/>
      <c r="B41" s="154" t="s">
        <v>587</v>
      </c>
      <c r="C41" s="154"/>
      <c r="D41" s="160" t="s">
        <v>778</v>
      </c>
      <c r="E41" s="160">
        <v>1</v>
      </c>
      <c r="F41" s="289">
        <f>IFERROR(IFERROR(VLOOKUP(B41,'Product Cost - Price'!$C$5:$L$205,10,FALSE),VLOOKUP(B41,'C- Raw Products Costs'!$A$3:$H$72,8,FALSE)),0)</f>
        <v>25.666666666666668</v>
      </c>
      <c r="H41" s="162">
        <v>126</v>
      </c>
      <c r="I41" s="164">
        <f t="shared" si="0"/>
        <v>126</v>
      </c>
      <c r="J41" s="166">
        <f t="shared" si="1"/>
        <v>3234</v>
      </c>
      <c r="L41" s="162">
        <v>10</v>
      </c>
      <c r="M41" s="165">
        <f t="shared" si="3"/>
        <v>256.66666666666669</v>
      </c>
    </row>
    <row r="42" spans="1:13" ht="24.9" customHeight="1" x14ac:dyDescent="0.3">
      <c r="A42" s="155"/>
      <c r="B42" s="154" t="s">
        <v>589</v>
      </c>
      <c r="C42" s="154"/>
      <c r="D42" s="160" t="s">
        <v>774</v>
      </c>
      <c r="E42" s="160">
        <v>1</v>
      </c>
      <c r="F42" s="289">
        <f>IFERROR(IFERROR(VLOOKUP(B42,'Product Cost - Price'!$C$5:$L$205,10,FALSE),VLOOKUP(B42,'C- Raw Products Costs'!$A$3:$H$72,8,FALSE)),0)</f>
        <v>2.4</v>
      </c>
      <c r="H42" s="162">
        <v>1020</v>
      </c>
      <c r="I42" s="164">
        <f t="shared" si="0"/>
        <v>1020</v>
      </c>
      <c r="J42" s="166">
        <f t="shared" si="1"/>
        <v>2448</v>
      </c>
      <c r="L42" s="162">
        <v>1200</v>
      </c>
      <c r="M42" s="165">
        <f t="shared" si="3"/>
        <v>2880</v>
      </c>
    </row>
    <row r="43" spans="1:13" ht="24.9" customHeight="1" x14ac:dyDescent="0.3">
      <c r="A43" s="155"/>
      <c r="B43" s="154" t="s">
        <v>590</v>
      </c>
      <c r="C43" s="154"/>
      <c r="D43" s="160" t="s">
        <v>774</v>
      </c>
      <c r="E43" s="160">
        <v>1</v>
      </c>
      <c r="F43" s="289">
        <f>IFERROR(IFERROR(VLOOKUP(B43,'Product Cost - Price'!$C$5:$L$205,10,FALSE),VLOOKUP(B43,'C- Raw Products Costs'!$A$3:$H$72,8,FALSE)),0)</f>
        <v>1.825</v>
      </c>
      <c r="H43" s="162">
        <v>740</v>
      </c>
      <c r="I43" s="164">
        <f t="shared" si="0"/>
        <v>740</v>
      </c>
      <c r="J43" s="166">
        <f t="shared" si="1"/>
        <v>1350.5</v>
      </c>
      <c r="L43" s="162">
        <v>100</v>
      </c>
      <c r="M43" s="165">
        <f t="shared" si="3"/>
        <v>182.5</v>
      </c>
    </row>
    <row r="44" spans="1:13" ht="24.9" customHeight="1" x14ac:dyDescent="0.3">
      <c r="A44" s="155">
        <v>557824</v>
      </c>
      <c r="B44" s="154" t="s">
        <v>113</v>
      </c>
      <c r="C44" s="154"/>
      <c r="D44" s="160"/>
      <c r="E44" s="160"/>
      <c r="F44" s="289">
        <f>IFERROR(IFERROR(VLOOKUP(B44,'Product Cost - Price'!$C$5:$L$205,10,FALSE),VLOOKUP(B44,'C- Raw Products Costs'!$A$3:$H$72,8,FALSE)),0)</f>
        <v>0</v>
      </c>
      <c r="H44" s="162"/>
      <c r="I44" s="164">
        <f t="shared" si="0"/>
        <v>0</v>
      </c>
      <c r="J44" s="166">
        <f t="shared" si="1"/>
        <v>0</v>
      </c>
      <c r="L44" s="162"/>
      <c r="M44" s="165">
        <f t="shared" si="3"/>
        <v>0</v>
      </c>
    </row>
    <row r="45" spans="1:13" ht="24.9" customHeight="1" x14ac:dyDescent="0.3">
      <c r="A45" s="155">
        <v>545413</v>
      </c>
      <c r="B45" s="154" t="s">
        <v>302</v>
      </c>
      <c r="C45" s="154"/>
      <c r="D45" s="160"/>
      <c r="E45" s="160"/>
      <c r="F45" s="289">
        <f>IFERROR(IFERROR(VLOOKUP(B45,'Product Cost - Price'!$C$5:$L$205,10,FALSE),VLOOKUP(B45,'C- Raw Products Costs'!$A$3:$H$72,8,FALSE)),0)</f>
        <v>0.57913049999999999</v>
      </c>
      <c r="H45" s="162"/>
      <c r="I45" s="164">
        <f t="shared" si="0"/>
        <v>0</v>
      </c>
      <c r="J45" s="166">
        <f t="shared" si="1"/>
        <v>0</v>
      </c>
      <c r="L45" s="162"/>
      <c r="M45" s="165">
        <f t="shared" si="3"/>
        <v>0</v>
      </c>
    </row>
    <row r="46" spans="1:13" ht="24.9" customHeight="1" x14ac:dyDescent="0.3">
      <c r="A46" s="155"/>
      <c r="B46" s="154" t="s">
        <v>536</v>
      </c>
      <c r="C46" s="154"/>
      <c r="D46" s="160"/>
      <c r="E46" s="160"/>
      <c r="F46" s="289">
        <f>IFERROR(IFERROR(VLOOKUP(B46,'Product Cost - Price'!$C$5:$L$205,10,FALSE),VLOOKUP(B46,'C- Raw Products Costs'!$A$3:$H$72,8,FALSE)),0)</f>
        <v>1.5435000000000001</v>
      </c>
      <c r="H46" s="162"/>
      <c r="I46" s="164">
        <f t="shared" si="0"/>
        <v>0</v>
      </c>
      <c r="J46" s="166">
        <f t="shared" si="1"/>
        <v>0</v>
      </c>
      <c r="L46" s="162"/>
      <c r="M46" s="165">
        <f t="shared" si="3"/>
        <v>0</v>
      </c>
    </row>
    <row r="47" spans="1:13" ht="24.9" customHeight="1" x14ac:dyDescent="0.3">
      <c r="A47" s="155">
        <v>546686</v>
      </c>
      <c r="B47" s="154" t="s">
        <v>308</v>
      </c>
      <c r="C47" s="154"/>
      <c r="D47" s="160" t="s">
        <v>775</v>
      </c>
      <c r="E47" s="160">
        <v>20</v>
      </c>
      <c r="F47" s="289">
        <f>IFERROR(IFERROR(VLOOKUP(B47,'Product Cost - Price'!$C$5:$L$205,10,FALSE),VLOOKUP(B47,'C- Raw Products Costs'!$A$3:$H$72,8,FALSE)),0)</f>
        <v>1.5435000000000001</v>
      </c>
      <c r="H47" s="162">
        <v>10</v>
      </c>
      <c r="I47" s="164">
        <f t="shared" si="0"/>
        <v>200</v>
      </c>
      <c r="J47" s="166">
        <f t="shared" si="1"/>
        <v>308.70000000000005</v>
      </c>
      <c r="L47" s="162">
        <v>320</v>
      </c>
      <c r="M47" s="165">
        <f t="shared" si="3"/>
        <v>493.92</v>
      </c>
    </row>
    <row r="48" spans="1:13" ht="24.9" customHeight="1" x14ac:dyDescent="0.3">
      <c r="A48" s="155">
        <v>546687</v>
      </c>
      <c r="B48" s="154" t="s">
        <v>311</v>
      </c>
      <c r="C48" s="154"/>
      <c r="D48" s="160" t="s">
        <v>774</v>
      </c>
      <c r="E48" s="160">
        <v>1</v>
      </c>
      <c r="F48" s="289">
        <f>IFERROR(IFERROR(VLOOKUP(B48,'Product Cost - Price'!$C$5:$L$205,10,FALSE),VLOOKUP(B48,'C- Raw Products Costs'!$A$3:$H$72,8,FALSE)),0)</f>
        <v>1.5435000000000001</v>
      </c>
      <c r="H48" s="162">
        <v>2330</v>
      </c>
      <c r="I48" s="164">
        <f t="shared" si="0"/>
        <v>2330</v>
      </c>
      <c r="J48" s="166">
        <f t="shared" si="1"/>
        <v>3596.355</v>
      </c>
      <c r="L48" s="162">
        <v>5690</v>
      </c>
      <c r="M48" s="165">
        <f t="shared" si="3"/>
        <v>8782.5150000000012</v>
      </c>
    </row>
    <row r="49" spans="1:13" ht="24.9" customHeight="1" x14ac:dyDescent="0.3">
      <c r="A49" s="155">
        <v>501074</v>
      </c>
      <c r="B49" s="154" t="s">
        <v>242</v>
      </c>
      <c r="C49" s="154"/>
      <c r="D49" s="160" t="s">
        <v>775</v>
      </c>
      <c r="E49" s="160">
        <v>20</v>
      </c>
      <c r="F49" s="289">
        <f>IFERROR(IFERROR(VLOOKUP(B49,'Product Cost - Price'!$C$5:$L$205,10,FALSE),VLOOKUP(B49,'C- Raw Products Costs'!$A$3:$H$72,8,FALSE)),0)</f>
        <v>0.45150000000000001</v>
      </c>
      <c r="H49" s="162">
        <v>42</v>
      </c>
      <c r="I49" s="164">
        <f t="shared" si="0"/>
        <v>840</v>
      </c>
      <c r="J49" s="166">
        <f t="shared" si="1"/>
        <v>379.26</v>
      </c>
      <c r="L49" s="162">
        <v>2220</v>
      </c>
      <c r="M49" s="165">
        <f t="shared" si="3"/>
        <v>1002.33</v>
      </c>
    </row>
    <row r="50" spans="1:13" ht="24.9" customHeight="1" x14ac:dyDescent="0.3">
      <c r="A50" s="155"/>
      <c r="B50" s="154" t="s">
        <v>242</v>
      </c>
      <c r="C50" s="154"/>
      <c r="D50" s="160" t="s">
        <v>774</v>
      </c>
      <c r="E50" s="160">
        <v>1</v>
      </c>
      <c r="F50" s="289">
        <f>IFERROR(IFERROR(VLOOKUP(B50,'Product Cost - Price'!$C$5:$L$205,10,FALSE),VLOOKUP(B50,'C- Raw Products Costs'!$A$3:$H$72,8,FALSE)),0)</f>
        <v>0.45150000000000001</v>
      </c>
      <c r="H50" s="162"/>
      <c r="I50" s="164">
        <f t="shared" si="0"/>
        <v>0</v>
      </c>
      <c r="J50" s="166">
        <f t="shared" si="1"/>
        <v>0</v>
      </c>
      <c r="L50" s="162">
        <v>15000</v>
      </c>
      <c r="M50" s="165">
        <f t="shared" si="3"/>
        <v>6772.5</v>
      </c>
    </row>
    <row r="51" spans="1:13" ht="24.9" customHeight="1" x14ac:dyDescent="0.3">
      <c r="A51" s="155">
        <v>501775</v>
      </c>
      <c r="B51" s="154" t="s">
        <v>247</v>
      </c>
      <c r="C51" s="154"/>
      <c r="D51" s="160" t="s">
        <v>775</v>
      </c>
      <c r="E51" s="160">
        <v>20</v>
      </c>
      <c r="F51" s="289">
        <f>IFERROR(IFERROR(VLOOKUP(B51,'Product Cost - Price'!$C$5:$L$205,10,FALSE),VLOOKUP(B51,'C- Raw Products Costs'!$A$3:$H$72,8,FALSE)),0)</f>
        <v>0.90449999999999997</v>
      </c>
      <c r="H51" s="162">
        <v>54</v>
      </c>
      <c r="I51" s="164">
        <f t="shared" si="0"/>
        <v>1080</v>
      </c>
      <c r="J51" s="166">
        <f t="shared" si="1"/>
        <v>976.86</v>
      </c>
      <c r="L51" s="162">
        <v>1080</v>
      </c>
      <c r="M51" s="165">
        <f t="shared" si="3"/>
        <v>976.86</v>
      </c>
    </row>
    <row r="52" spans="1:13" ht="24.9" customHeight="1" x14ac:dyDescent="0.3">
      <c r="A52" s="155"/>
      <c r="B52" s="154" t="s">
        <v>247</v>
      </c>
      <c r="C52" s="154"/>
      <c r="D52" s="160" t="s">
        <v>774</v>
      </c>
      <c r="E52" s="160">
        <v>1</v>
      </c>
      <c r="F52" s="289">
        <f>IFERROR(IFERROR(VLOOKUP(B52,'Product Cost - Price'!$C$5:$L$205,10,FALSE),VLOOKUP(B52,'C- Raw Products Costs'!$A$3:$H$72,8,FALSE)),0)</f>
        <v>0.90449999999999997</v>
      </c>
      <c r="H52" s="162">
        <v>27700</v>
      </c>
      <c r="I52" s="164">
        <f t="shared" si="0"/>
        <v>27700</v>
      </c>
      <c r="J52" s="166">
        <f t="shared" si="1"/>
        <v>25054.649999999998</v>
      </c>
      <c r="L52" s="162">
        <v>1200</v>
      </c>
      <c r="M52" s="165">
        <f t="shared" si="3"/>
        <v>1085.3999999999999</v>
      </c>
    </row>
    <row r="53" spans="1:13" ht="24.9" customHeight="1" x14ac:dyDescent="0.3">
      <c r="A53" s="155">
        <v>557601</v>
      </c>
      <c r="B53" s="154" t="s">
        <v>319</v>
      </c>
      <c r="C53" s="154"/>
      <c r="D53" s="160"/>
      <c r="E53" s="160"/>
      <c r="F53" s="289">
        <f>IFERROR(IFERROR(VLOOKUP(B53,'Product Cost - Price'!$C$5:$L$205,10,FALSE),VLOOKUP(B53,'C- Raw Products Costs'!$A$3:$H$72,8,FALSE)),0)</f>
        <v>0.90449999999999997</v>
      </c>
      <c r="H53" s="162"/>
      <c r="I53" s="164">
        <f t="shared" si="0"/>
        <v>0</v>
      </c>
      <c r="J53" s="166">
        <f t="shared" si="1"/>
        <v>0</v>
      </c>
      <c r="L53" s="162"/>
      <c r="M53" s="165">
        <f t="shared" si="3"/>
        <v>0</v>
      </c>
    </row>
    <row r="54" spans="1:13" ht="24.9" customHeight="1" x14ac:dyDescent="0.3">
      <c r="A54" s="155">
        <v>557862</v>
      </c>
      <c r="B54" s="154" t="s">
        <v>320</v>
      </c>
      <c r="C54" s="154"/>
      <c r="D54" s="160"/>
      <c r="E54" s="160"/>
      <c r="F54" s="289">
        <f>IFERROR(IFERROR(VLOOKUP(B54,'Product Cost - Price'!$C$5:$L$205,10,FALSE),VLOOKUP(B54,'C- Raw Products Costs'!$A$3:$H$72,8,FALSE)),0)</f>
        <v>1.254904761904762</v>
      </c>
      <c r="H54" s="162"/>
      <c r="I54" s="164">
        <f t="shared" si="0"/>
        <v>0</v>
      </c>
      <c r="J54" s="166">
        <f t="shared" si="1"/>
        <v>0</v>
      </c>
      <c r="L54" s="162"/>
      <c r="M54" s="165">
        <f t="shared" si="3"/>
        <v>0</v>
      </c>
    </row>
    <row r="55" spans="1:13" ht="24.9" customHeight="1" x14ac:dyDescent="0.3">
      <c r="A55" s="155">
        <v>557863</v>
      </c>
      <c r="B55" s="154" t="s">
        <v>321</v>
      </c>
      <c r="C55" s="154"/>
      <c r="D55" s="160"/>
      <c r="E55" s="160"/>
      <c r="F55" s="289">
        <f>IFERROR(IFERROR(VLOOKUP(B55,'Product Cost - Price'!$C$5:$L$205,10,FALSE),VLOOKUP(B55,'C- Raw Products Costs'!$A$3:$H$72,8,FALSE)),0)</f>
        <v>1.2669090909090908</v>
      </c>
      <c r="H55" s="162"/>
      <c r="I55" s="164">
        <f t="shared" si="0"/>
        <v>0</v>
      </c>
      <c r="J55" s="166">
        <f t="shared" si="1"/>
        <v>0</v>
      </c>
      <c r="L55" s="162"/>
      <c r="M55" s="165">
        <f t="shared" si="3"/>
        <v>0</v>
      </c>
    </row>
    <row r="56" spans="1:13" ht="24.9" customHeight="1" x14ac:dyDescent="0.3">
      <c r="A56" s="155">
        <v>380867</v>
      </c>
      <c r="B56" s="154" t="s">
        <v>142</v>
      </c>
      <c r="C56" s="154"/>
      <c r="D56" s="160" t="s">
        <v>775</v>
      </c>
      <c r="E56" s="160">
        <v>20</v>
      </c>
      <c r="F56" s="289">
        <f>IFERROR(IFERROR(VLOOKUP(B56,'Product Cost - Price'!$C$5:$L$205,10,FALSE),VLOOKUP(B56,'C- Raw Products Costs'!$A$3:$H$72,8,FALSE)),0)</f>
        <v>0.7004604305722727</v>
      </c>
      <c r="H56" s="162">
        <v>91</v>
      </c>
      <c r="I56" s="164">
        <f t="shared" si="0"/>
        <v>1820</v>
      </c>
      <c r="J56" s="166">
        <f t="shared" si="1"/>
        <v>1274.8379836415363</v>
      </c>
      <c r="L56" s="162">
        <v>1900</v>
      </c>
      <c r="M56" s="165">
        <f t="shared" si="3"/>
        <v>1330.8748180873181</v>
      </c>
    </row>
    <row r="57" spans="1:13" ht="24.9" customHeight="1" x14ac:dyDescent="0.3">
      <c r="A57" s="155">
        <v>383803</v>
      </c>
      <c r="B57" s="154" t="s">
        <v>171</v>
      </c>
      <c r="C57" s="154"/>
      <c r="D57" s="160" t="s">
        <v>775</v>
      </c>
      <c r="E57" s="160">
        <v>20</v>
      </c>
      <c r="F57" s="289">
        <f>IFERROR(IFERROR(VLOOKUP(B57,'Product Cost - Price'!$C$5:$L$205,10,FALSE),VLOOKUP(B57,'C- Raw Products Costs'!$A$3:$H$72,8,FALSE)),0)</f>
        <v>0.75094119980304175</v>
      </c>
      <c r="H57" s="162">
        <v>24</v>
      </c>
      <c r="I57" s="164">
        <f t="shared" si="0"/>
        <v>480</v>
      </c>
      <c r="J57" s="166">
        <f t="shared" si="1"/>
        <v>360.45177590546007</v>
      </c>
      <c r="L57" s="162">
        <v>1520</v>
      </c>
      <c r="M57" s="165">
        <f t="shared" si="3"/>
        <v>1141.4306237006235</v>
      </c>
    </row>
    <row r="58" spans="1:13" ht="24.9" customHeight="1" x14ac:dyDescent="0.3">
      <c r="A58" s="155">
        <v>383804</v>
      </c>
      <c r="B58" s="154" t="s">
        <v>173</v>
      </c>
      <c r="C58" s="154"/>
      <c r="D58" s="160" t="s">
        <v>775</v>
      </c>
      <c r="E58" s="160">
        <v>20</v>
      </c>
      <c r="F58" s="289">
        <f>IFERROR(IFERROR(VLOOKUP(B58,'Product Cost - Price'!$C$5:$L$205,10,FALSE),VLOOKUP(B58,'C- Raw Products Costs'!$A$3:$H$72,8,FALSE)),0)</f>
        <v>0.58055038461538455</v>
      </c>
      <c r="H58" s="162">
        <v>96</v>
      </c>
      <c r="I58" s="164">
        <f t="shared" si="0"/>
        <v>1920</v>
      </c>
      <c r="J58" s="166">
        <f t="shared" si="1"/>
        <v>1114.6567384615382</v>
      </c>
      <c r="L58" s="162">
        <v>2240</v>
      </c>
      <c r="M58" s="165">
        <f t="shared" si="3"/>
        <v>1300.4328615384613</v>
      </c>
    </row>
    <row r="59" spans="1:13" ht="24.9" customHeight="1" x14ac:dyDescent="0.3">
      <c r="A59" s="155">
        <v>383805</v>
      </c>
      <c r="B59" s="154" t="s">
        <v>176</v>
      </c>
      <c r="C59" s="154"/>
      <c r="D59" s="160" t="s">
        <v>775</v>
      </c>
      <c r="E59" s="160">
        <v>20</v>
      </c>
      <c r="F59" s="289">
        <f>IFERROR(IFERROR(VLOOKUP(B59,'Product Cost - Price'!$C$5:$L$205,10,FALSE),VLOOKUP(B59,'C- Raw Products Costs'!$A$3:$H$72,8,FALSE)),0)</f>
        <v>0.52972692307692304</v>
      </c>
      <c r="H59" s="162">
        <v>66</v>
      </c>
      <c r="I59" s="164">
        <f t="shared" si="0"/>
        <v>1320</v>
      </c>
      <c r="J59" s="166">
        <f t="shared" si="1"/>
        <v>699.23953846153836</v>
      </c>
      <c r="L59" s="162">
        <v>2580</v>
      </c>
      <c r="M59" s="165">
        <f t="shared" si="3"/>
        <v>1366.6954615384614</v>
      </c>
    </row>
    <row r="60" spans="1:13" ht="24.9" customHeight="1" x14ac:dyDescent="0.3">
      <c r="A60" s="155">
        <v>383806</v>
      </c>
      <c r="B60" s="154" t="s">
        <v>179</v>
      </c>
      <c r="C60" s="154"/>
      <c r="D60" s="160" t="s">
        <v>775</v>
      </c>
      <c r="E60" s="160">
        <v>20</v>
      </c>
      <c r="F60" s="289">
        <f>IFERROR(IFERROR(VLOOKUP(B60,'Product Cost - Price'!$C$5:$L$205,10,FALSE),VLOOKUP(B60,'C- Raw Products Costs'!$A$3:$H$72,8,FALSE)),0)</f>
        <v>0.63640151515151522</v>
      </c>
      <c r="H60" s="162">
        <v>151</v>
      </c>
      <c r="I60" s="164">
        <f t="shared" si="0"/>
        <v>3020</v>
      </c>
      <c r="J60" s="166">
        <f t="shared" si="1"/>
        <v>1921.9325757575759</v>
      </c>
      <c r="L60" s="162">
        <v>1100</v>
      </c>
      <c r="M60" s="165">
        <f t="shared" si="3"/>
        <v>700.04166666666674</v>
      </c>
    </row>
    <row r="61" spans="1:13" ht="24.9" customHeight="1" x14ac:dyDescent="0.3">
      <c r="A61" s="155">
        <v>501080</v>
      </c>
      <c r="B61" s="154" t="s">
        <v>244</v>
      </c>
      <c r="C61" s="154"/>
      <c r="D61" s="160" t="s">
        <v>775</v>
      </c>
      <c r="E61" s="160">
        <v>20</v>
      </c>
      <c r="F61" s="289">
        <f>IFERROR(IFERROR(VLOOKUP(B61,'Product Cost - Price'!$C$5:$L$205,10,FALSE),VLOOKUP(B61,'C- Raw Products Costs'!$A$3:$H$72,8,FALSE)),0)</f>
        <v>0.64900124999999986</v>
      </c>
      <c r="H61" s="162">
        <v>9</v>
      </c>
      <c r="I61" s="164">
        <f t="shared" si="0"/>
        <v>180</v>
      </c>
      <c r="J61" s="166">
        <f t="shared" si="1"/>
        <v>116.82022499999998</v>
      </c>
      <c r="L61" s="162">
        <v>1080</v>
      </c>
      <c r="M61" s="165">
        <f t="shared" si="3"/>
        <v>700.92134999999985</v>
      </c>
    </row>
    <row r="62" spans="1:13" ht="24.9" customHeight="1" x14ac:dyDescent="0.3">
      <c r="A62" s="155">
        <v>383807</v>
      </c>
      <c r="B62" s="154" t="s">
        <v>182</v>
      </c>
      <c r="C62" s="154"/>
      <c r="D62" s="160" t="s">
        <v>775</v>
      </c>
      <c r="E62" s="160">
        <v>20</v>
      </c>
      <c r="F62" s="289">
        <f>IFERROR(IFERROR(VLOOKUP(B62,'Product Cost - Price'!$C$5:$L$205,10,FALSE),VLOOKUP(B62,'C- Raw Products Costs'!$A$3:$H$72,8,FALSE)),0)</f>
        <v>0.71993451776649731</v>
      </c>
      <c r="H62" s="162">
        <v>17</v>
      </c>
      <c r="I62" s="164">
        <f t="shared" si="0"/>
        <v>340</v>
      </c>
      <c r="J62" s="166">
        <f t="shared" si="1"/>
        <v>244.77773604060908</v>
      </c>
      <c r="L62" s="162">
        <v>1600</v>
      </c>
      <c r="M62" s="165">
        <f t="shared" si="3"/>
        <v>1151.8952284263958</v>
      </c>
    </row>
    <row r="63" spans="1:13" ht="24.9" customHeight="1" x14ac:dyDescent="0.3">
      <c r="A63" s="155">
        <v>383808</v>
      </c>
      <c r="B63" s="154" t="s">
        <v>185</v>
      </c>
      <c r="C63" s="154"/>
      <c r="D63" s="160" t="s">
        <v>775</v>
      </c>
      <c r="E63" s="160">
        <v>20</v>
      </c>
      <c r="F63" s="289">
        <f>IFERROR(IFERROR(VLOOKUP(B63,'Product Cost - Price'!$C$5:$L$205,10,FALSE),VLOOKUP(B63,'C- Raw Products Costs'!$A$3:$H$72,8,FALSE)),0)</f>
        <v>0.77047262499999991</v>
      </c>
      <c r="H63" s="162">
        <v>32</v>
      </c>
      <c r="I63" s="164">
        <f t="shared" si="0"/>
        <v>640</v>
      </c>
      <c r="J63" s="166">
        <f t="shared" si="1"/>
        <v>493.10247999999996</v>
      </c>
      <c r="L63" s="162">
        <v>1080</v>
      </c>
      <c r="M63" s="165">
        <f t="shared" si="3"/>
        <v>832.11043499999994</v>
      </c>
    </row>
    <row r="64" spans="1:13" ht="24.9" customHeight="1" x14ac:dyDescent="0.3">
      <c r="A64" s="155">
        <v>383809</v>
      </c>
      <c r="B64" s="154" t="s">
        <v>188</v>
      </c>
      <c r="C64" s="154"/>
      <c r="D64" s="160" t="s">
        <v>775</v>
      </c>
      <c r="E64" s="160">
        <v>20</v>
      </c>
      <c r="F64" s="289">
        <f>IFERROR(IFERROR(VLOOKUP(B64,'Product Cost - Price'!$C$5:$L$205,10,FALSE),VLOOKUP(B64,'C- Raw Products Costs'!$A$3:$H$72,8,FALSE)),0)</f>
        <v>0.55943999999999994</v>
      </c>
      <c r="H64" s="162">
        <v>80</v>
      </c>
      <c r="I64" s="164">
        <f t="shared" si="0"/>
        <v>1600</v>
      </c>
      <c r="J64" s="166">
        <f t="shared" si="1"/>
        <v>895.10399999999993</v>
      </c>
      <c r="L64" s="162">
        <v>640</v>
      </c>
      <c r="M64" s="165">
        <f t="shared" si="3"/>
        <v>358.04159999999996</v>
      </c>
    </row>
    <row r="65" spans="1:13" ht="24.9" customHeight="1" x14ac:dyDescent="0.3">
      <c r="A65" s="155">
        <v>408406</v>
      </c>
      <c r="B65" s="154" t="s">
        <v>205</v>
      </c>
      <c r="C65" s="154"/>
      <c r="D65" s="160" t="s">
        <v>775</v>
      </c>
      <c r="E65" s="160">
        <v>20</v>
      </c>
      <c r="F65" s="289">
        <f>IFERROR(IFERROR(VLOOKUP(B65,'Product Cost - Price'!$C$5:$L$205,10,FALSE),VLOOKUP(B65,'C- Raw Products Costs'!$A$3:$H$72,8,FALSE)),0)</f>
        <v>0.65918999999999994</v>
      </c>
      <c r="H65" s="162">
        <v>42</v>
      </c>
      <c r="I65" s="164">
        <f t="shared" si="0"/>
        <v>840</v>
      </c>
      <c r="J65" s="166">
        <f t="shared" si="1"/>
        <v>553.7195999999999</v>
      </c>
      <c r="L65" s="162">
        <v>160</v>
      </c>
      <c r="M65" s="165">
        <f t="shared" si="3"/>
        <v>105.47039999999998</v>
      </c>
    </row>
    <row r="66" spans="1:13" ht="24.9" customHeight="1" x14ac:dyDescent="0.3">
      <c r="A66" s="155">
        <v>383810</v>
      </c>
      <c r="B66" s="154" t="s">
        <v>40</v>
      </c>
      <c r="C66" s="154"/>
      <c r="D66" s="160" t="s">
        <v>775</v>
      </c>
      <c r="E66" s="160">
        <v>20</v>
      </c>
      <c r="F66" s="289">
        <f>IFERROR(IFERROR(VLOOKUP(B66,'Product Cost - Price'!$C$5:$L$205,10,FALSE),VLOOKUP(B66,'C- Raw Products Costs'!$A$3:$H$72,8,FALSE)),0)</f>
        <v>0.65252599009900991</v>
      </c>
      <c r="H66" s="162">
        <v>87</v>
      </c>
      <c r="I66" s="164">
        <f t="shared" si="0"/>
        <v>1740</v>
      </c>
      <c r="J66" s="166">
        <f t="shared" si="1"/>
        <v>1135.3952227722773</v>
      </c>
      <c r="L66" s="162">
        <v>1260</v>
      </c>
      <c r="M66" s="165">
        <f t="shared" si="3"/>
        <v>822.18274752475247</v>
      </c>
    </row>
    <row r="67" spans="1:13" ht="24.9" customHeight="1" x14ac:dyDescent="0.3">
      <c r="A67" s="155">
        <v>383811</v>
      </c>
      <c r="B67" s="154" t="s">
        <v>44</v>
      </c>
      <c r="C67" s="154"/>
      <c r="D67" s="160" t="s">
        <v>775</v>
      </c>
      <c r="E67" s="160">
        <v>20</v>
      </c>
      <c r="F67" s="289">
        <f>IFERROR(IFERROR(VLOOKUP(B67,'Product Cost - Price'!$C$5:$L$205,10,FALSE),VLOOKUP(B67,'C- Raw Products Costs'!$A$3:$H$72,8,FALSE)),0)</f>
        <v>0.70190717821782178</v>
      </c>
      <c r="H67" s="162">
        <v>165</v>
      </c>
      <c r="I67" s="164">
        <f t="shared" ref="I67:I130" si="4">E67*H67</f>
        <v>3300</v>
      </c>
      <c r="J67" s="166">
        <f t="shared" ref="J67:J130" si="5">I67*F67</f>
        <v>2316.293688118812</v>
      </c>
      <c r="L67" s="162">
        <v>1200</v>
      </c>
      <c r="M67" s="165">
        <f t="shared" si="3"/>
        <v>842.28861386138612</v>
      </c>
    </row>
    <row r="68" spans="1:13" ht="24.9" customHeight="1" x14ac:dyDescent="0.3">
      <c r="A68" s="155">
        <v>383812</v>
      </c>
      <c r="B68" s="154" t="s">
        <v>46</v>
      </c>
      <c r="C68" s="154"/>
      <c r="D68" s="160" t="s">
        <v>775</v>
      </c>
      <c r="E68" s="160">
        <v>20</v>
      </c>
      <c r="F68" s="289">
        <f>IFERROR(IFERROR(VLOOKUP(B68,'Product Cost - Price'!$C$5:$L$205,10,FALSE),VLOOKUP(B68,'C- Raw Products Costs'!$A$3:$H$72,8,FALSE)),0)</f>
        <v>0.80609458128078815</v>
      </c>
      <c r="H68" s="162">
        <v>95</v>
      </c>
      <c r="I68" s="164">
        <f t="shared" si="4"/>
        <v>1900</v>
      </c>
      <c r="J68" s="166">
        <f t="shared" si="5"/>
        <v>1531.5797044334975</v>
      </c>
      <c r="L68" s="162">
        <v>3360</v>
      </c>
      <c r="M68" s="165">
        <f t="shared" si="3"/>
        <v>2708.4777931034482</v>
      </c>
    </row>
    <row r="69" spans="1:13" ht="24.9" customHeight="1" x14ac:dyDescent="0.3">
      <c r="A69" s="155">
        <v>503638</v>
      </c>
      <c r="B69" s="154" t="s">
        <v>253</v>
      </c>
      <c r="C69" s="154"/>
      <c r="D69" s="160" t="s">
        <v>775</v>
      </c>
      <c r="E69" s="160">
        <v>20</v>
      </c>
      <c r="F69" s="289">
        <f>IFERROR(IFERROR(VLOOKUP(B69,'Product Cost - Price'!$C$5:$L$205,10,FALSE),VLOOKUP(B69,'C- Raw Products Costs'!$A$3:$H$72,8,FALSE)),0)</f>
        <v>0.72798786407766991</v>
      </c>
      <c r="H69" s="162">
        <v>20</v>
      </c>
      <c r="I69" s="164">
        <f t="shared" si="4"/>
        <v>400</v>
      </c>
      <c r="J69" s="166">
        <f t="shared" si="5"/>
        <v>291.19514563106799</v>
      </c>
      <c r="L69" s="162">
        <v>2520</v>
      </c>
      <c r="M69" s="165">
        <f t="shared" si="3"/>
        <v>1834.5294174757282</v>
      </c>
    </row>
    <row r="70" spans="1:13" ht="24.9" customHeight="1" x14ac:dyDescent="0.3">
      <c r="A70" s="155">
        <v>501072</v>
      </c>
      <c r="B70" s="154" t="s">
        <v>236</v>
      </c>
      <c r="C70" s="154"/>
      <c r="D70" s="160" t="s">
        <v>775</v>
      </c>
      <c r="E70" s="160">
        <v>20</v>
      </c>
      <c r="F70" s="289">
        <f>IFERROR(IFERROR(VLOOKUP(B70,'Product Cost - Price'!$C$5:$L$205,10,FALSE),VLOOKUP(B70,'C- Raw Products Costs'!$A$3:$H$72,8,FALSE)),0)</f>
        <v>0.64391799999999999</v>
      </c>
      <c r="H70" s="162">
        <v>16</v>
      </c>
      <c r="I70" s="164">
        <f t="shared" si="4"/>
        <v>320</v>
      </c>
      <c r="J70" s="166">
        <f t="shared" si="5"/>
        <v>206.05376000000001</v>
      </c>
      <c r="L70" s="162">
        <v>1040</v>
      </c>
      <c r="M70" s="165">
        <f t="shared" si="3"/>
        <v>669.67471999999998</v>
      </c>
    </row>
    <row r="71" spans="1:13" ht="24.9" customHeight="1" x14ac:dyDescent="0.3">
      <c r="A71" s="155">
        <v>501073</v>
      </c>
      <c r="B71" s="154" t="s">
        <v>239</v>
      </c>
      <c r="C71" s="154"/>
      <c r="D71" s="160" t="s">
        <v>775</v>
      </c>
      <c r="E71" s="160">
        <v>20</v>
      </c>
      <c r="F71" s="289">
        <f>IFERROR(IFERROR(VLOOKUP(B71,'Product Cost - Price'!$C$5:$L$205,10,FALSE),VLOOKUP(B71,'C- Raw Products Costs'!$A$3:$H$72,8,FALSE)),0)</f>
        <v>0.61609016587677723</v>
      </c>
      <c r="H71" s="162">
        <v>102</v>
      </c>
      <c r="I71" s="164">
        <f t="shared" si="4"/>
        <v>2040</v>
      </c>
      <c r="J71" s="166">
        <f t="shared" si="5"/>
        <v>1256.8239383886255</v>
      </c>
      <c r="L71" s="162">
        <v>1340</v>
      </c>
      <c r="M71" s="165">
        <f t="shared" si="3"/>
        <v>825.5608222748815</v>
      </c>
    </row>
    <row r="72" spans="1:13" ht="24.9" customHeight="1" x14ac:dyDescent="0.3">
      <c r="A72" s="155">
        <v>383813</v>
      </c>
      <c r="B72" s="154" t="s">
        <v>191</v>
      </c>
      <c r="C72" s="154"/>
      <c r="D72" s="160" t="s">
        <v>775</v>
      </c>
      <c r="E72" s="160">
        <v>20</v>
      </c>
      <c r="F72" s="289">
        <f>IFERROR(IFERROR(VLOOKUP(B72,'Product Cost - Price'!$C$5:$L$205,10,FALSE),VLOOKUP(B72,'C- Raw Products Costs'!$A$3:$H$72,8,FALSE)),0)</f>
        <v>1.0713972602739728</v>
      </c>
      <c r="H72" s="162">
        <v>49</v>
      </c>
      <c r="I72" s="164">
        <f t="shared" si="4"/>
        <v>980</v>
      </c>
      <c r="J72" s="166">
        <f t="shared" si="5"/>
        <v>1049.9693150684932</v>
      </c>
      <c r="L72" s="162">
        <v>1560</v>
      </c>
      <c r="M72" s="165">
        <f t="shared" si="3"/>
        <v>1671.3797260273975</v>
      </c>
    </row>
    <row r="73" spans="1:13" ht="24.9" customHeight="1" x14ac:dyDescent="0.3">
      <c r="A73" s="155"/>
      <c r="B73" s="154" t="s">
        <v>591</v>
      </c>
      <c r="C73" s="154"/>
      <c r="D73" s="160" t="s">
        <v>774</v>
      </c>
      <c r="E73" s="160">
        <v>1</v>
      </c>
      <c r="F73" s="289">
        <f>IFERROR(IFERROR(VLOOKUP(B73,'Product Cost - Price'!$C$5:$L$205,10,FALSE),VLOOKUP(B73,'C- Raw Products Costs'!$A$3:$H$72,8,FALSE)),0)</f>
        <v>7.31</v>
      </c>
      <c r="H73" s="162">
        <v>22</v>
      </c>
      <c r="I73" s="164">
        <f t="shared" si="4"/>
        <v>22</v>
      </c>
      <c r="J73" s="166">
        <f t="shared" si="5"/>
        <v>160.82</v>
      </c>
      <c r="L73" s="162">
        <v>45</v>
      </c>
      <c r="M73" s="165">
        <f t="shared" si="3"/>
        <v>328.95</v>
      </c>
    </row>
    <row r="74" spans="1:13" ht="24.9" customHeight="1" x14ac:dyDescent="0.3">
      <c r="A74" s="155"/>
      <c r="B74" s="154" t="s">
        <v>592</v>
      </c>
      <c r="C74" s="154"/>
      <c r="D74" s="160"/>
      <c r="E74" s="160"/>
      <c r="F74" s="289">
        <f>IFERROR(IFERROR(VLOOKUP(B74,'Product Cost - Price'!$C$5:$L$205,10,FALSE),VLOOKUP(B74,'C- Raw Products Costs'!$A$3:$H$72,8,FALSE)),0)</f>
        <v>0.15</v>
      </c>
      <c r="H74" s="162"/>
      <c r="I74" s="164">
        <f t="shared" si="4"/>
        <v>0</v>
      </c>
      <c r="J74" s="166">
        <f t="shared" si="5"/>
        <v>0</v>
      </c>
      <c r="L74" s="162"/>
      <c r="M74" s="165">
        <f t="shared" si="3"/>
        <v>0</v>
      </c>
    </row>
    <row r="75" spans="1:13" ht="24.9" customHeight="1" x14ac:dyDescent="0.3">
      <c r="A75" s="155"/>
      <c r="B75" s="154" t="s">
        <v>563</v>
      </c>
      <c r="C75" s="154"/>
      <c r="D75" s="160" t="s">
        <v>774</v>
      </c>
      <c r="E75" s="160">
        <v>1</v>
      </c>
      <c r="F75" s="289">
        <f>IFERROR(IFERROR(VLOOKUP(B75,'Product Cost - Price'!$C$5:$L$205,10,FALSE),VLOOKUP(B75,'C- Raw Products Costs'!$A$3:$H$72,8,FALSE)),0)</f>
        <v>0.75</v>
      </c>
      <c r="H75" s="162">
        <v>200</v>
      </c>
      <c r="I75" s="164">
        <f t="shared" si="4"/>
        <v>200</v>
      </c>
      <c r="J75" s="166">
        <f t="shared" si="5"/>
        <v>150</v>
      </c>
      <c r="L75" s="162">
        <v>6300</v>
      </c>
      <c r="M75" s="165">
        <f t="shared" si="3"/>
        <v>4725</v>
      </c>
    </row>
    <row r="76" spans="1:13" ht="24.9" customHeight="1" x14ac:dyDescent="0.3">
      <c r="A76" s="155"/>
      <c r="B76" s="154" t="s">
        <v>593</v>
      </c>
      <c r="C76" s="154"/>
      <c r="D76" s="160" t="s">
        <v>774</v>
      </c>
      <c r="E76" s="160">
        <v>1</v>
      </c>
      <c r="F76" s="289">
        <f>IFERROR(IFERROR(VLOOKUP(B76,'Product Cost - Price'!$C$5:$L$205,10,FALSE),VLOOKUP(B76,'C- Raw Products Costs'!$A$3:$H$72,8,FALSE)),0)</f>
        <v>0.44000000000000006</v>
      </c>
      <c r="H76" s="162">
        <v>1200</v>
      </c>
      <c r="I76" s="164">
        <f t="shared" si="4"/>
        <v>1200</v>
      </c>
      <c r="J76" s="166">
        <f t="shared" si="5"/>
        <v>528.00000000000011</v>
      </c>
      <c r="L76" s="162">
        <v>225</v>
      </c>
      <c r="M76" s="165">
        <f t="shared" si="3"/>
        <v>99.000000000000014</v>
      </c>
    </row>
    <row r="77" spans="1:13" ht="24.9" customHeight="1" x14ac:dyDescent="0.3">
      <c r="A77" s="155"/>
      <c r="B77" s="154" t="s">
        <v>160</v>
      </c>
      <c r="C77" s="154"/>
      <c r="D77" s="160" t="s">
        <v>774</v>
      </c>
      <c r="E77" s="160">
        <v>1</v>
      </c>
      <c r="F77" s="289">
        <f>IFERROR(IFERROR(VLOOKUP(B77,'Product Cost - Price'!$C$5:$L$205,10,FALSE),VLOOKUP(B77,'C- Raw Products Costs'!$A$3:$H$72,8,FALSE)),0)</f>
        <v>2.0499999999999998</v>
      </c>
      <c r="H77" s="162">
        <v>2900</v>
      </c>
      <c r="I77" s="164">
        <f t="shared" si="4"/>
        <v>2900</v>
      </c>
      <c r="J77" s="166">
        <f t="shared" si="5"/>
        <v>5944.9999999999991</v>
      </c>
      <c r="L77" s="162">
        <v>2000</v>
      </c>
      <c r="M77" s="165">
        <f t="shared" si="3"/>
        <v>4100</v>
      </c>
    </row>
    <row r="78" spans="1:13" ht="24.9" customHeight="1" x14ac:dyDescent="0.3">
      <c r="A78" s="155">
        <v>383799</v>
      </c>
      <c r="B78" s="154" t="s">
        <v>159</v>
      </c>
      <c r="C78" s="154"/>
      <c r="D78" s="160" t="s">
        <v>775</v>
      </c>
      <c r="E78" s="160">
        <v>20</v>
      </c>
      <c r="F78" s="289">
        <f>IFERROR(IFERROR(VLOOKUP(B78,'Product Cost - Price'!$C$5:$L$205,10,FALSE),VLOOKUP(B78,'C- Raw Products Costs'!$A$3:$H$72,8,FALSE)),0)</f>
        <v>2.0499999999999998</v>
      </c>
      <c r="H78" s="162">
        <v>39</v>
      </c>
      <c r="I78" s="164">
        <f t="shared" si="4"/>
        <v>780</v>
      </c>
      <c r="J78" s="166">
        <f t="shared" si="5"/>
        <v>1598.9999999999998</v>
      </c>
      <c r="L78" s="162">
        <v>840</v>
      </c>
      <c r="M78" s="165">
        <f t="shared" si="3"/>
        <v>1721.9999999999998</v>
      </c>
    </row>
    <row r="79" spans="1:13" ht="24.9" customHeight="1" x14ac:dyDescent="0.3">
      <c r="A79" s="155">
        <v>546523</v>
      </c>
      <c r="B79" s="154" t="s">
        <v>307</v>
      </c>
      <c r="C79" s="154"/>
      <c r="D79" s="160" t="s">
        <v>775</v>
      </c>
      <c r="E79" s="160">
        <v>20</v>
      </c>
      <c r="F79" s="289">
        <f>IFERROR(IFERROR(VLOOKUP(B79,'Product Cost - Price'!$C$5:$L$205,10,FALSE),VLOOKUP(B79,'C- Raw Products Costs'!$A$3:$H$72,8,FALSE)),0)</f>
        <v>1.2410769230769232</v>
      </c>
      <c r="H79" s="162">
        <v>40</v>
      </c>
      <c r="I79" s="164">
        <f t="shared" si="4"/>
        <v>800</v>
      </c>
      <c r="J79" s="166">
        <f t="shared" si="5"/>
        <v>992.86153846153854</v>
      </c>
      <c r="L79" s="162">
        <v>1280</v>
      </c>
      <c r="M79" s="165">
        <f t="shared" si="3"/>
        <v>1588.5784615384616</v>
      </c>
    </row>
    <row r="80" spans="1:13" ht="24.9" customHeight="1" x14ac:dyDescent="0.3">
      <c r="A80" s="155">
        <v>540814</v>
      </c>
      <c r="B80" s="154" t="s">
        <v>273</v>
      </c>
      <c r="C80" s="154"/>
      <c r="D80" s="160"/>
      <c r="E80" s="160"/>
      <c r="F80" s="289">
        <f>IFERROR(IFERROR(VLOOKUP(B80,'Product Cost - Price'!$C$5:$L$205,10,FALSE),VLOOKUP(B80,'C- Raw Products Costs'!$A$3:$H$72,8,FALSE)),0)</f>
        <v>1.2410769230769232</v>
      </c>
      <c r="H80" s="162"/>
      <c r="I80" s="164">
        <f t="shared" si="4"/>
        <v>0</v>
      </c>
      <c r="J80" s="166">
        <f t="shared" si="5"/>
        <v>0</v>
      </c>
      <c r="L80" s="162"/>
      <c r="M80" s="165">
        <f t="shared" si="3"/>
        <v>0</v>
      </c>
    </row>
    <row r="81" spans="1:13" ht="24.9" customHeight="1" x14ac:dyDescent="0.3">
      <c r="A81" s="155">
        <v>383816</v>
      </c>
      <c r="B81" s="154" t="s">
        <v>197</v>
      </c>
      <c r="C81" s="154"/>
      <c r="D81" s="160" t="s">
        <v>775</v>
      </c>
      <c r="E81" s="160">
        <v>20</v>
      </c>
      <c r="F81" s="289">
        <f>IFERROR(IFERROR(VLOOKUP(B81,'Product Cost - Price'!$C$5:$L$205,10,FALSE),VLOOKUP(B81,'C- Raw Products Costs'!$A$3:$H$72,8,FALSE)),0)</f>
        <v>1.075</v>
      </c>
      <c r="H81" s="162">
        <v>130</v>
      </c>
      <c r="I81" s="164">
        <f t="shared" si="4"/>
        <v>2600</v>
      </c>
      <c r="J81" s="166">
        <f t="shared" si="5"/>
        <v>2795</v>
      </c>
      <c r="L81" s="162"/>
      <c r="M81" s="165">
        <f t="shared" si="3"/>
        <v>0</v>
      </c>
    </row>
    <row r="82" spans="1:13" ht="24.9" customHeight="1" x14ac:dyDescent="0.3">
      <c r="A82" s="155"/>
      <c r="B82" s="154" t="s">
        <v>197</v>
      </c>
      <c r="C82" s="154"/>
      <c r="D82" s="160" t="s">
        <v>775</v>
      </c>
      <c r="E82" s="160">
        <v>20</v>
      </c>
      <c r="F82" s="289">
        <f>IFERROR(IFERROR(VLOOKUP(B82,'Product Cost - Price'!$C$5:$L$205,10,FALSE),VLOOKUP(B82,'C- Raw Products Costs'!$A$3:$H$72,8,FALSE)),0)</f>
        <v>1.075</v>
      </c>
      <c r="H82" s="162"/>
      <c r="I82" s="164">
        <f t="shared" si="4"/>
        <v>0</v>
      </c>
      <c r="J82" s="166">
        <f t="shared" si="5"/>
        <v>0</v>
      </c>
      <c r="L82" s="162">
        <v>4400</v>
      </c>
      <c r="M82" s="165">
        <f t="shared" si="3"/>
        <v>4730</v>
      </c>
    </row>
    <row r="83" spans="1:13" ht="24.9" customHeight="1" x14ac:dyDescent="0.3">
      <c r="A83" s="155">
        <v>380863</v>
      </c>
      <c r="B83" s="154" t="s">
        <v>136</v>
      </c>
      <c r="C83" s="154"/>
      <c r="D83" s="160" t="s">
        <v>777</v>
      </c>
      <c r="E83" s="160">
        <v>1</v>
      </c>
      <c r="F83" s="289">
        <f>IFERROR(IFERROR(VLOOKUP(B83,'Product Cost - Price'!$C$5:$L$205,10,FALSE),VLOOKUP(B83,'C- Raw Products Costs'!$A$3:$H$72,8,FALSE)),0)</f>
        <v>19</v>
      </c>
      <c r="H83" s="162">
        <v>30</v>
      </c>
      <c r="I83" s="164">
        <f t="shared" si="4"/>
        <v>30</v>
      </c>
      <c r="J83" s="166">
        <f t="shared" si="5"/>
        <v>570</v>
      </c>
      <c r="L83" s="162">
        <v>122</v>
      </c>
      <c r="M83" s="165">
        <f t="shared" si="3"/>
        <v>2318</v>
      </c>
    </row>
    <row r="84" spans="1:13" ht="24.9" customHeight="1" x14ac:dyDescent="0.3">
      <c r="A84" s="155"/>
      <c r="B84" s="154" t="s">
        <v>595</v>
      </c>
      <c r="C84" s="154"/>
      <c r="D84" s="160" t="s">
        <v>774</v>
      </c>
      <c r="E84" s="160">
        <v>1</v>
      </c>
      <c r="F84" s="289">
        <f>IFERROR(IFERROR(VLOOKUP(B84,'Product Cost - Price'!$C$5:$L$205,10,FALSE),VLOOKUP(B84,'C- Raw Products Costs'!$A$3:$H$72,8,FALSE)),0)</f>
        <v>1.25</v>
      </c>
      <c r="H84" s="162">
        <v>3000</v>
      </c>
      <c r="I84" s="164">
        <f t="shared" si="4"/>
        <v>3000</v>
      </c>
      <c r="J84" s="166">
        <f t="shared" si="5"/>
        <v>3750</v>
      </c>
      <c r="L84" s="162">
        <v>1000</v>
      </c>
      <c r="M84" s="165">
        <f t="shared" ref="M84:M147" si="6">L84*F84</f>
        <v>1250</v>
      </c>
    </row>
    <row r="85" spans="1:13" ht="24.9" customHeight="1" x14ac:dyDescent="0.3">
      <c r="A85" s="155"/>
      <c r="B85" s="154" t="s">
        <v>537</v>
      </c>
      <c r="C85" s="154"/>
      <c r="D85" s="160" t="s">
        <v>774</v>
      </c>
      <c r="E85" s="160">
        <v>1</v>
      </c>
      <c r="F85" s="289">
        <f>IFERROR(IFERROR(VLOOKUP(B85,'Product Cost - Price'!$C$5:$L$205,10,FALSE),VLOOKUP(B85,'C- Raw Products Costs'!$A$3:$H$72,8,FALSE)),0)</f>
        <v>0.77700000000000002</v>
      </c>
      <c r="H85" s="162">
        <v>15000</v>
      </c>
      <c r="I85" s="164">
        <f t="shared" si="4"/>
        <v>15000</v>
      </c>
      <c r="J85" s="166">
        <f t="shared" si="5"/>
        <v>11655</v>
      </c>
      <c r="L85" s="162">
        <v>15000</v>
      </c>
      <c r="M85" s="165">
        <f t="shared" si="6"/>
        <v>11655</v>
      </c>
    </row>
    <row r="86" spans="1:13" ht="24.9" customHeight="1" x14ac:dyDescent="0.3">
      <c r="A86" s="155"/>
      <c r="B86" s="154" t="s">
        <v>149</v>
      </c>
      <c r="C86" s="154"/>
      <c r="D86" s="160"/>
      <c r="E86" s="160"/>
      <c r="F86" s="289">
        <f>IFERROR(IFERROR(VLOOKUP(B86,'Product Cost - Price'!$C$5:$L$205,10,FALSE),VLOOKUP(B86,'C- Raw Products Costs'!$A$3:$H$72,8,FALSE)),0)</f>
        <v>0.38324999999999998</v>
      </c>
      <c r="H86" s="162"/>
      <c r="I86" s="164">
        <f t="shared" si="4"/>
        <v>0</v>
      </c>
      <c r="J86" s="166">
        <f t="shared" si="5"/>
        <v>0</v>
      </c>
      <c r="L86" s="162"/>
      <c r="M86" s="165">
        <f t="shared" si="6"/>
        <v>0</v>
      </c>
    </row>
    <row r="87" spans="1:13" ht="24.9" customHeight="1" x14ac:dyDescent="0.3">
      <c r="A87" s="155">
        <v>383790</v>
      </c>
      <c r="B87" s="154" t="s">
        <v>148</v>
      </c>
      <c r="C87" s="154"/>
      <c r="D87" s="160" t="s">
        <v>775</v>
      </c>
      <c r="E87" s="160">
        <v>20</v>
      </c>
      <c r="F87" s="289">
        <f>IFERROR(IFERROR(VLOOKUP(B87,'Product Cost - Price'!$C$5:$L$205,10,FALSE),VLOOKUP(B87,'C- Raw Products Costs'!$A$3:$H$72,8,FALSE)),0)</f>
        <v>0.38324999999999998</v>
      </c>
      <c r="H87" s="162">
        <v>70</v>
      </c>
      <c r="I87" s="164">
        <f t="shared" si="4"/>
        <v>1400</v>
      </c>
      <c r="J87" s="166">
        <f t="shared" si="5"/>
        <v>536.54999999999995</v>
      </c>
      <c r="L87" s="162">
        <v>520</v>
      </c>
      <c r="M87" s="165">
        <f t="shared" si="6"/>
        <v>199.29</v>
      </c>
    </row>
    <row r="88" spans="1:13" ht="24.9" customHeight="1" x14ac:dyDescent="0.3">
      <c r="A88" s="155">
        <v>516886</v>
      </c>
      <c r="B88" s="154" t="s">
        <v>260</v>
      </c>
      <c r="C88" s="154"/>
      <c r="D88" s="160" t="s">
        <v>775</v>
      </c>
      <c r="E88" s="160">
        <v>20</v>
      </c>
      <c r="F88" s="289">
        <f>IFERROR(IFERROR(VLOOKUP(B88,'Product Cost - Price'!$C$5:$L$205,10,FALSE),VLOOKUP(B88,'C- Raw Products Costs'!$A$3:$H$72,8,FALSE)),0)</f>
        <v>0.93921177685950408</v>
      </c>
      <c r="H88" s="162">
        <v>81</v>
      </c>
      <c r="I88" s="164">
        <f t="shared" si="4"/>
        <v>1620</v>
      </c>
      <c r="J88" s="166">
        <f t="shared" si="5"/>
        <v>1521.5230785123965</v>
      </c>
      <c r="L88" s="162">
        <v>2360</v>
      </c>
      <c r="M88" s="165">
        <f t="shared" si="6"/>
        <v>2216.5397933884296</v>
      </c>
    </row>
    <row r="89" spans="1:13" ht="24.9" customHeight="1" x14ac:dyDescent="0.3">
      <c r="A89" s="155">
        <v>534727</v>
      </c>
      <c r="B89" s="154" t="s">
        <v>270</v>
      </c>
      <c r="C89" s="154"/>
      <c r="D89" s="160"/>
      <c r="E89" s="160"/>
      <c r="F89" s="289">
        <f>IFERROR(IFERROR(VLOOKUP(B89,'Product Cost - Price'!$C$5:$L$205,10,FALSE),VLOOKUP(B89,'C- Raw Products Costs'!$A$3:$H$72,8,FALSE)),0)</f>
        <v>0.93921177685950408</v>
      </c>
      <c r="H89" s="162"/>
      <c r="I89" s="164">
        <f t="shared" si="4"/>
        <v>0</v>
      </c>
      <c r="J89" s="166">
        <f t="shared" si="5"/>
        <v>0</v>
      </c>
      <c r="L89" s="162"/>
      <c r="M89" s="165">
        <f t="shared" si="6"/>
        <v>0</v>
      </c>
    </row>
    <row r="90" spans="1:13" ht="24.9" customHeight="1" x14ac:dyDescent="0.3">
      <c r="A90" s="155">
        <v>543452</v>
      </c>
      <c r="B90" s="154" t="s">
        <v>298</v>
      </c>
      <c r="C90" s="154"/>
      <c r="D90" s="160" t="s">
        <v>775</v>
      </c>
      <c r="E90" s="160">
        <v>20</v>
      </c>
      <c r="F90" s="289">
        <f>IFERROR(IFERROR(VLOOKUP(B90,'Product Cost - Price'!$C$5:$L$205,10,FALSE),VLOOKUP(B90,'C- Raw Products Costs'!$A$3:$H$72,8,FALSE)),0)</f>
        <v>0.88</v>
      </c>
      <c r="H90" s="162">
        <v>36</v>
      </c>
      <c r="I90" s="164">
        <f t="shared" si="4"/>
        <v>720</v>
      </c>
      <c r="J90" s="166">
        <f t="shared" si="5"/>
        <v>633.6</v>
      </c>
      <c r="L90" s="162">
        <v>32</v>
      </c>
      <c r="M90" s="165">
        <f t="shared" si="6"/>
        <v>28.16</v>
      </c>
    </row>
    <row r="91" spans="1:13" ht="24.9" customHeight="1" x14ac:dyDescent="0.3">
      <c r="A91" s="155"/>
      <c r="B91" s="154" t="s">
        <v>298</v>
      </c>
      <c r="C91" s="154"/>
      <c r="D91" s="160" t="s">
        <v>774</v>
      </c>
      <c r="E91" s="160">
        <v>1</v>
      </c>
      <c r="F91" s="289">
        <f>IFERROR(IFERROR(VLOOKUP(B91,'Product Cost - Price'!$C$5:$L$205,10,FALSE),VLOOKUP(B91,'C- Raw Products Costs'!$A$3:$H$72,8,FALSE)),0)</f>
        <v>0.88</v>
      </c>
      <c r="H91" s="162">
        <v>1518</v>
      </c>
      <c r="I91" s="164">
        <f t="shared" si="4"/>
        <v>1518</v>
      </c>
      <c r="J91" s="166">
        <f t="shared" si="5"/>
        <v>1335.84</v>
      </c>
      <c r="L91" s="162"/>
      <c r="M91" s="165">
        <f t="shared" si="6"/>
        <v>0</v>
      </c>
    </row>
    <row r="92" spans="1:13" ht="24.9" customHeight="1" x14ac:dyDescent="0.3">
      <c r="A92" s="155"/>
      <c r="B92" s="154" t="s">
        <v>596</v>
      </c>
      <c r="C92" s="154"/>
      <c r="D92" s="160" t="s">
        <v>778</v>
      </c>
      <c r="E92" s="160">
        <v>1</v>
      </c>
      <c r="F92" s="289">
        <f>IFERROR(IFERROR(VLOOKUP(B92,'Product Cost - Price'!$C$5:$L$205,10,FALSE),VLOOKUP(B92,'C- Raw Products Costs'!$A$3:$H$72,8,FALSE)),0)</f>
        <v>0.81674999999999998</v>
      </c>
      <c r="H92" s="162">
        <v>1700</v>
      </c>
      <c r="I92" s="164">
        <f t="shared" si="4"/>
        <v>1700</v>
      </c>
      <c r="J92" s="166">
        <f t="shared" si="5"/>
        <v>1388.4749999999999</v>
      </c>
      <c r="L92" s="162">
        <v>1200</v>
      </c>
      <c r="M92" s="165">
        <f t="shared" si="6"/>
        <v>980.1</v>
      </c>
    </row>
    <row r="93" spans="1:13" ht="24.9" customHeight="1" x14ac:dyDescent="0.3">
      <c r="A93" s="155"/>
      <c r="B93" s="154" t="s">
        <v>597</v>
      </c>
      <c r="C93" s="154"/>
      <c r="D93" s="160"/>
      <c r="E93" s="160"/>
      <c r="F93" s="289">
        <f>IFERROR(IFERROR(VLOOKUP(B93,'Product Cost - Price'!$C$5:$L$205,10,FALSE),VLOOKUP(B93,'C- Raw Products Costs'!$A$3:$H$72,8,FALSE)),0)</f>
        <v>10.199999999999999</v>
      </c>
      <c r="H93" s="162"/>
      <c r="I93" s="164">
        <f t="shared" si="4"/>
        <v>0</v>
      </c>
      <c r="J93" s="166">
        <f t="shared" si="5"/>
        <v>0</v>
      </c>
      <c r="L93" s="162"/>
      <c r="M93" s="165">
        <f t="shared" si="6"/>
        <v>0</v>
      </c>
    </row>
    <row r="94" spans="1:13" ht="24.9" customHeight="1" x14ac:dyDescent="0.3">
      <c r="A94" s="155"/>
      <c r="B94" s="154" t="s">
        <v>166</v>
      </c>
      <c r="C94" s="154"/>
      <c r="D94" s="160" t="s">
        <v>775</v>
      </c>
      <c r="E94" s="160">
        <v>25</v>
      </c>
      <c r="F94" s="289">
        <f>IFERROR(IFERROR(VLOOKUP(B94,'Product Cost - Price'!$C$5:$L$205,10,FALSE),VLOOKUP(B94,'C- Raw Products Costs'!$A$3:$H$72,8,FALSE)),0)</f>
        <v>1.582875</v>
      </c>
      <c r="H94" s="162"/>
      <c r="I94" s="164">
        <f t="shared" si="4"/>
        <v>0</v>
      </c>
      <c r="J94" s="166">
        <f t="shared" si="5"/>
        <v>0</v>
      </c>
      <c r="L94" s="162">
        <v>425</v>
      </c>
      <c r="M94" s="165">
        <f t="shared" si="6"/>
        <v>672.72187500000007</v>
      </c>
    </row>
    <row r="95" spans="1:13" ht="24.9" customHeight="1" x14ac:dyDescent="0.3">
      <c r="A95" s="155">
        <v>383801</v>
      </c>
      <c r="B95" s="154" t="s">
        <v>165</v>
      </c>
      <c r="C95" s="154"/>
      <c r="D95" s="160"/>
      <c r="E95" s="160"/>
      <c r="F95" s="289">
        <f>IFERROR(IFERROR(VLOOKUP(B95,'Product Cost - Price'!$C$5:$L$205,10,FALSE),VLOOKUP(B95,'C- Raw Products Costs'!$A$3:$H$72,8,FALSE)),0)</f>
        <v>1.582875</v>
      </c>
      <c r="H95" s="162"/>
      <c r="I95" s="164">
        <f t="shared" si="4"/>
        <v>0</v>
      </c>
      <c r="J95" s="166">
        <f t="shared" si="5"/>
        <v>0</v>
      </c>
      <c r="L95" s="162"/>
      <c r="M95" s="165">
        <f t="shared" si="6"/>
        <v>0</v>
      </c>
    </row>
    <row r="96" spans="1:13" ht="24.9" customHeight="1" x14ac:dyDescent="0.3">
      <c r="A96" s="155">
        <v>411797</v>
      </c>
      <c r="B96" s="154" t="s">
        <v>209</v>
      </c>
      <c r="C96" s="154"/>
      <c r="D96" s="160"/>
      <c r="E96" s="160"/>
      <c r="F96" s="289">
        <f>IFERROR(IFERROR(VLOOKUP(B96,'Product Cost - Price'!$C$5:$L$205,10,FALSE),VLOOKUP(B96,'C- Raw Products Costs'!$A$3:$H$72,8,FALSE)),0)</f>
        <v>0</v>
      </c>
      <c r="H96" s="162"/>
      <c r="I96" s="164">
        <f t="shared" si="4"/>
        <v>0</v>
      </c>
      <c r="J96" s="166">
        <f t="shared" si="5"/>
        <v>0</v>
      </c>
      <c r="L96" s="162"/>
      <c r="M96" s="165">
        <f t="shared" si="6"/>
        <v>0</v>
      </c>
    </row>
    <row r="97" spans="1:13" ht="24.9" customHeight="1" x14ac:dyDescent="0.3">
      <c r="A97" s="155">
        <v>383815</v>
      </c>
      <c r="B97" s="154" t="s">
        <v>49</v>
      </c>
      <c r="C97" s="154"/>
      <c r="D97" s="160" t="s">
        <v>775</v>
      </c>
      <c r="E97" s="160">
        <v>20</v>
      </c>
      <c r="F97" s="289">
        <f>IFERROR(IFERROR(VLOOKUP(B97,'Product Cost - Price'!$C$5:$L$205,10,FALSE),VLOOKUP(B97,'C- Raw Products Costs'!$A$3:$H$72,8,FALSE)),0)</f>
        <v>0.8</v>
      </c>
      <c r="H97" s="162">
        <v>42</v>
      </c>
      <c r="I97" s="164">
        <f t="shared" si="4"/>
        <v>840</v>
      </c>
      <c r="J97" s="166">
        <f t="shared" si="5"/>
        <v>672</v>
      </c>
      <c r="L97" s="162"/>
      <c r="M97" s="165">
        <f t="shared" si="6"/>
        <v>0</v>
      </c>
    </row>
    <row r="98" spans="1:13" ht="24.9" customHeight="1" x14ac:dyDescent="0.3">
      <c r="A98" s="155"/>
      <c r="B98" s="154" t="s">
        <v>49</v>
      </c>
      <c r="C98" s="154"/>
      <c r="D98" s="160" t="s">
        <v>775</v>
      </c>
      <c r="E98" s="160">
        <v>20</v>
      </c>
      <c r="F98" s="289">
        <f>IFERROR(IFERROR(VLOOKUP(B98,'Product Cost - Price'!$C$5:$L$205,10,FALSE),VLOOKUP(B98,'C- Raw Products Costs'!$A$3:$H$72,8,FALSE)),0)</f>
        <v>0.8</v>
      </c>
      <c r="H98" s="162"/>
      <c r="I98" s="164">
        <f t="shared" si="4"/>
        <v>0</v>
      </c>
      <c r="J98" s="166">
        <f t="shared" si="5"/>
        <v>0</v>
      </c>
      <c r="L98" s="162">
        <v>2000</v>
      </c>
      <c r="M98" s="165">
        <f t="shared" si="6"/>
        <v>1600</v>
      </c>
    </row>
    <row r="99" spans="1:13" ht="24.9" customHeight="1" x14ac:dyDescent="0.3">
      <c r="A99" s="155">
        <v>380861</v>
      </c>
      <c r="B99" s="154" t="s">
        <v>130</v>
      </c>
      <c r="C99" s="154"/>
      <c r="D99" s="160" t="s">
        <v>777</v>
      </c>
      <c r="E99" s="160">
        <v>1</v>
      </c>
      <c r="F99" s="289">
        <f>IFERROR(IFERROR(VLOOKUP(B99,'Product Cost - Price'!$C$5:$L$205,10,FALSE),VLOOKUP(B99,'C- Raw Products Costs'!$A$3:$H$72,8,FALSE)),0)</f>
        <v>15.15</v>
      </c>
      <c r="H99" s="162">
        <v>22</v>
      </c>
      <c r="I99" s="164">
        <f t="shared" si="4"/>
        <v>22</v>
      </c>
      <c r="J99" s="166">
        <f t="shared" si="5"/>
        <v>333.3</v>
      </c>
      <c r="L99" s="162">
        <v>106</v>
      </c>
      <c r="M99" s="165">
        <f t="shared" si="6"/>
        <v>1605.9</v>
      </c>
    </row>
    <row r="100" spans="1:13" ht="24.9" customHeight="1" x14ac:dyDescent="0.3">
      <c r="A100" s="155"/>
      <c r="B100" s="154" t="s">
        <v>125</v>
      </c>
      <c r="C100" s="154"/>
      <c r="D100" s="160" t="s">
        <v>774</v>
      </c>
      <c r="E100" s="160">
        <v>1</v>
      </c>
      <c r="F100" s="289">
        <f>IFERROR(IFERROR(VLOOKUP(B100,'Product Cost - Price'!$C$5:$L$205,10,FALSE),VLOOKUP(B100,'C- Raw Products Costs'!$A$3:$H$72,8,FALSE)),0)</f>
        <v>0</v>
      </c>
      <c r="H100" s="162">
        <v>250000</v>
      </c>
      <c r="I100" s="164">
        <f t="shared" si="4"/>
        <v>250000</v>
      </c>
      <c r="J100" s="166">
        <f t="shared" si="5"/>
        <v>0</v>
      </c>
      <c r="L100" s="162">
        <v>300000</v>
      </c>
      <c r="M100" s="165">
        <f t="shared" si="6"/>
        <v>0</v>
      </c>
    </row>
    <row r="101" spans="1:13" ht="24.9" customHeight="1" x14ac:dyDescent="0.3">
      <c r="A101" s="155">
        <v>394989</v>
      </c>
      <c r="B101" s="154" t="s">
        <v>200</v>
      </c>
      <c r="C101" s="154"/>
      <c r="D101" s="160" t="s">
        <v>774</v>
      </c>
      <c r="E101" s="160">
        <v>1</v>
      </c>
      <c r="F101" s="289">
        <f>IFERROR(IFERROR(VLOOKUP(B101,'Product Cost - Price'!$C$5:$L$205,10,FALSE),VLOOKUP(B101,'C- Raw Products Costs'!$A$3:$H$72,8,FALSE)),0)</f>
        <v>0.504</v>
      </c>
      <c r="H101" s="162">
        <v>12800</v>
      </c>
      <c r="I101" s="164">
        <f t="shared" si="4"/>
        <v>12800</v>
      </c>
      <c r="J101" s="166">
        <f t="shared" si="5"/>
        <v>6451.2</v>
      </c>
      <c r="L101" s="162">
        <v>5600</v>
      </c>
      <c r="M101" s="165">
        <f t="shared" si="6"/>
        <v>2822.4</v>
      </c>
    </row>
    <row r="102" spans="1:13" ht="24.9" customHeight="1" x14ac:dyDescent="0.3">
      <c r="A102" s="155">
        <v>455322</v>
      </c>
      <c r="B102" s="154" t="s">
        <v>212</v>
      </c>
      <c r="C102" s="154"/>
      <c r="D102" s="160"/>
      <c r="E102" s="160"/>
      <c r="F102" s="289">
        <f>IFERROR(IFERROR(VLOOKUP(B102,'Product Cost - Price'!$C$5:$L$205,10,FALSE),VLOOKUP(B102,'C- Raw Products Costs'!$A$3:$H$72,8,FALSE)),0)</f>
        <v>0</v>
      </c>
      <c r="H102" s="162"/>
      <c r="I102" s="164">
        <f t="shared" si="4"/>
        <v>0</v>
      </c>
      <c r="J102" s="166">
        <f t="shared" si="5"/>
        <v>0</v>
      </c>
      <c r="L102" s="162"/>
      <c r="M102" s="165">
        <f t="shared" si="6"/>
        <v>0</v>
      </c>
    </row>
    <row r="103" spans="1:13" ht="24.9" customHeight="1" x14ac:dyDescent="0.3">
      <c r="A103" s="155">
        <v>503017</v>
      </c>
      <c r="B103" s="154" t="s">
        <v>249</v>
      </c>
      <c r="C103" s="154"/>
      <c r="D103" s="160"/>
      <c r="E103" s="160"/>
      <c r="F103" s="289">
        <f>IFERROR(IFERROR(VLOOKUP(B103,'Product Cost - Price'!$C$5:$L$205,10,FALSE),VLOOKUP(B103,'C- Raw Products Costs'!$A$3:$H$72,8,FALSE)),0)</f>
        <v>0</v>
      </c>
      <c r="H103" s="162"/>
      <c r="I103" s="164">
        <f t="shared" si="4"/>
        <v>0</v>
      </c>
      <c r="J103" s="166">
        <f t="shared" si="5"/>
        <v>0</v>
      </c>
      <c r="L103" s="162"/>
      <c r="M103" s="165">
        <f t="shared" si="6"/>
        <v>0</v>
      </c>
    </row>
    <row r="104" spans="1:13" ht="24.9" customHeight="1" x14ac:dyDescent="0.3">
      <c r="A104" s="155">
        <v>514492</v>
      </c>
      <c r="B104" s="154" t="s">
        <v>91</v>
      </c>
      <c r="C104" s="154"/>
      <c r="D104" s="160"/>
      <c r="E104" s="160"/>
      <c r="F104" s="289">
        <f>IFERROR(IFERROR(VLOOKUP(B104,'Product Cost - Price'!$C$5:$L$205,10,FALSE),VLOOKUP(B104,'C- Raw Products Costs'!$A$3:$H$72,8,FALSE)),0)</f>
        <v>0</v>
      </c>
      <c r="H104" s="162"/>
      <c r="I104" s="164">
        <f t="shared" si="4"/>
        <v>0</v>
      </c>
      <c r="J104" s="166">
        <f t="shared" si="5"/>
        <v>0</v>
      </c>
      <c r="L104" s="162"/>
      <c r="M104" s="165">
        <f t="shared" si="6"/>
        <v>0</v>
      </c>
    </row>
    <row r="105" spans="1:13" ht="24.9" customHeight="1" x14ac:dyDescent="0.3">
      <c r="A105" s="155"/>
      <c r="B105" s="154" t="s">
        <v>539</v>
      </c>
      <c r="C105" s="154"/>
      <c r="D105" s="160" t="s">
        <v>774</v>
      </c>
      <c r="E105" s="160">
        <v>1</v>
      </c>
      <c r="F105" s="289">
        <f>IFERROR(IFERROR(VLOOKUP(B105,'Product Cost - Price'!$C$5:$L$205,10,FALSE),VLOOKUP(B105,'C- Raw Products Costs'!$A$3:$H$72,8,FALSE)),0)</f>
        <v>1.1339999999999999</v>
      </c>
      <c r="H105" s="162">
        <v>4800</v>
      </c>
      <c r="I105" s="164">
        <f t="shared" si="4"/>
        <v>4800</v>
      </c>
      <c r="J105" s="166">
        <f t="shared" si="5"/>
        <v>5443.2</v>
      </c>
      <c r="L105" s="162">
        <v>4800</v>
      </c>
      <c r="M105" s="165">
        <f t="shared" si="6"/>
        <v>5443.2</v>
      </c>
    </row>
    <row r="106" spans="1:13" ht="24.9" customHeight="1" x14ac:dyDescent="0.3">
      <c r="A106" s="155">
        <v>546522</v>
      </c>
      <c r="B106" s="154" t="s">
        <v>306</v>
      </c>
      <c r="C106" s="154"/>
      <c r="D106" s="160" t="s">
        <v>775</v>
      </c>
      <c r="E106" s="160">
        <v>20</v>
      </c>
      <c r="F106" s="289">
        <f>IFERROR(IFERROR(VLOOKUP(B106,'Product Cost - Price'!$C$5:$L$205,10,FALSE),VLOOKUP(B106,'C- Raw Products Costs'!$A$3:$H$72,8,FALSE)),0)</f>
        <v>0.6321472868217054</v>
      </c>
      <c r="H106" s="162">
        <v>120</v>
      </c>
      <c r="I106" s="164">
        <f t="shared" si="4"/>
        <v>2400</v>
      </c>
      <c r="J106" s="166">
        <f t="shared" si="5"/>
        <v>1517.1534883720929</v>
      </c>
      <c r="L106" s="162">
        <v>2920</v>
      </c>
      <c r="M106" s="165">
        <f t="shared" si="6"/>
        <v>1845.8700775193797</v>
      </c>
    </row>
    <row r="107" spans="1:13" ht="24.9" customHeight="1" x14ac:dyDescent="0.3">
      <c r="A107" s="155">
        <v>540817</v>
      </c>
      <c r="B107" s="154" t="s">
        <v>280</v>
      </c>
      <c r="C107" s="154"/>
      <c r="D107" s="160"/>
      <c r="E107" s="160"/>
      <c r="F107" s="289">
        <f>IFERROR(IFERROR(VLOOKUP(B107,'Product Cost - Price'!$C$5:$L$205,10,FALSE),VLOOKUP(B107,'C- Raw Products Costs'!$A$3:$H$72,8,FALSE)),0)</f>
        <v>0.6321472868217054</v>
      </c>
      <c r="H107" s="162"/>
      <c r="I107" s="164">
        <f t="shared" si="4"/>
        <v>0</v>
      </c>
      <c r="J107" s="166">
        <f t="shared" si="5"/>
        <v>0</v>
      </c>
      <c r="L107" s="162"/>
      <c r="M107" s="165">
        <f t="shared" si="6"/>
        <v>0</v>
      </c>
    </row>
    <row r="108" spans="1:13" ht="24.9" customHeight="1" x14ac:dyDescent="0.3">
      <c r="A108" s="155">
        <v>458163</v>
      </c>
      <c r="B108" s="154" t="s">
        <v>73</v>
      </c>
      <c r="C108" s="154"/>
      <c r="D108" s="160" t="s">
        <v>777</v>
      </c>
      <c r="E108" s="160">
        <v>1</v>
      </c>
      <c r="F108" s="289">
        <f>IFERROR(IFERROR(VLOOKUP(B108,'Product Cost - Price'!$C$5:$L$205,10,FALSE),VLOOKUP(B108,'C- Raw Products Costs'!$A$3:$H$72,8,FALSE)),0)</f>
        <v>9</v>
      </c>
      <c r="H108" s="162">
        <v>359</v>
      </c>
      <c r="I108" s="164">
        <f t="shared" si="4"/>
        <v>359</v>
      </c>
      <c r="J108" s="166">
        <f t="shared" si="5"/>
        <v>3231</v>
      </c>
      <c r="L108" s="162">
        <v>76</v>
      </c>
      <c r="M108" s="165">
        <f t="shared" si="6"/>
        <v>684</v>
      </c>
    </row>
    <row r="109" spans="1:13" ht="24.9" customHeight="1" x14ac:dyDescent="0.3">
      <c r="A109" s="155"/>
      <c r="B109" s="154" t="s">
        <v>28</v>
      </c>
      <c r="C109" s="154"/>
      <c r="D109" s="160" t="s">
        <v>774</v>
      </c>
      <c r="E109" s="160">
        <v>1</v>
      </c>
      <c r="F109" s="289">
        <f>IFERROR(IFERROR(VLOOKUP(B109,'Product Cost - Price'!$C$5:$L$205,10,FALSE),VLOOKUP(B109,'C- Raw Products Costs'!$A$3:$H$72,8,FALSE)),0)</f>
        <v>0.69847500000000007</v>
      </c>
      <c r="H109" s="162">
        <v>30000</v>
      </c>
      <c r="I109" s="164">
        <f t="shared" si="4"/>
        <v>30000</v>
      </c>
      <c r="J109" s="166">
        <f t="shared" si="5"/>
        <v>20954.250000000004</v>
      </c>
      <c r="L109" s="162">
        <v>55000</v>
      </c>
      <c r="M109" s="165">
        <f t="shared" si="6"/>
        <v>38416.125000000007</v>
      </c>
    </row>
    <row r="110" spans="1:13" ht="24.9" customHeight="1" x14ac:dyDescent="0.3">
      <c r="A110" s="155">
        <v>550377</v>
      </c>
      <c r="B110" s="154" t="s">
        <v>108</v>
      </c>
      <c r="C110" s="154"/>
      <c r="D110" s="160"/>
      <c r="E110" s="160"/>
      <c r="F110" s="289">
        <f>IFERROR(IFERROR(VLOOKUP(B110,'Product Cost - Price'!$C$5:$L$205,10,FALSE),VLOOKUP(B110,'C- Raw Products Costs'!$A$3:$H$72,8,FALSE)),0)</f>
        <v>0.69847500000000007</v>
      </c>
      <c r="H110" s="162"/>
      <c r="I110" s="164">
        <f t="shared" si="4"/>
        <v>0</v>
      </c>
      <c r="J110" s="166">
        <f t="shared" si="5"/>
        <v>0</v>
      </c>
      <c r="L110" s="162"/>
      <c r="M110" s="165">
        <f t="shared" si="6"/>
        <v>0</v>
      </c>
    </row>
    <row r="111" spans="1:13" ht="24.9" customHeight="1" x14ac:dyDescent="0.3">
      <c r="A111" s="155">
        <v>383792</v>
      </c>
      <c r="B111" s="154" t="s">
        <v>27</v>
      </c>
      <c r="C111" s="154"/>
      <c r="D111" s="160" t="s">
        <v>775</v>
      </c>
      <c r="E111" s="160">
        <v>20</v>
      </c>
      <c r="F111" s="289">
        <f>IFERROR(IFERROR(VLOOKUP(B111,'Product Cost - Price'!$C$5:$L$205,10,FALSE),VLOOKUP(B111,'C- Raw Products Costs'!$A$3:$H$72,8,FALSE)),0)</f>
        <v>0.69847500000000007</v>
      </c>
      <c r="H111" s="162">
        <v>126</v>
      </c>
      <c r="I111" s="164">
        <f t="shared" si="4"/>
        <v>2520</v>
      </c>
      <c r="J111" s="166">
        <f t="shared" si="5"/>
        <v>1760.1570000000002</v>
      </c>
      <c r="L111" s="162">
        <v>160</v>
      </c>
      <c r="M111" s="165">
        <f t="shared" si="6"/>
        <v>111.75600000000001</v>
      </c>
    </row>
    <row r="112" spans="1:13" ht="24.9" customHeight="1" x14ac:dyDescent="0.3">
      <c r="A112" s="155">
        <v>565667</v>
      </c>
      <c r="B112" s="154" t="s">
        <v>386</v>
      </c>
      <c r="C112" s="154"/>
      <c r="D112" s="160" t="s">
        <v>775</v>
      </c>
      <c r="E112" s="160">
        <v>18</v>
      </c>
      <c r="F112" s="289">
        <f>IFERROR(IFERROR(VLOOKUP(B112,'Product Cost - Price'!$C$5:$L$205,10,FALSE),VLOOKUP(B112,'C- Raw Products Costs'!$A$3:$H$72,8,FALSE)),0)</f>
        <v>0.49892500000000001</v>
      </c>
      <c r="H112" s="162">
        <v>1242</v>
      </c>
      <c r="I112" s="164">
        <f t="shared" si="4"/>
        <v>22356</v>
      </c>
      <c r="J112" s="166">
        <f t="shared" si="5"/>
        <v>11153.9673</v>
      </c>
      <c r="L112" s="162">
        <v>882</v>
      </c>
      <c r="M112" s="165">
        <f t="shared" si="6"/>
        <v>440.05185</v>
      </c>
    </row>
    <row r="113" spans="1:13" ht="24.9" customHeight="1" x14ac:dyDescent="0.3">
      <c r="A113" s="155">
        <v>565669</v>
      </c>
      <c r="B113" s="154" t="s">
        <v>388</v>
      </c>
      <c r="C113" s="154"/>
      <c r="D113" s="160" t="s">
        <v>775</v>
      </c>
      <c r="E113" s="160">
        <v>18</v>
      </c>
      <c r="F113" s="289">
        <f>IFERROR(IFERROR(VLOOKUP(B113,'Product Cost - Price'!$C$5:$L$205,10,FALSE),VLOOKUP(B113,'C- Raw Products Costs'!$A$3:$H$72,8,FALSE)),0)</f>
        <v>0.5754045000000001</v>
      </c>
      <c r="H113" s="162">
        <v>572</v>
      </c>
      <c r="I113" s="164">
        <f t="shared" si="4"/>
        <v>10296</v>
      </c>
      <c r="J113" s="166">
        <f t="shared" si="5"/>
        <v>5924.3647320000009</v>
      </c>
      <c r="L113" s="162">
        <v>6660</v>
      </c>
      <c r="M113" s="165">
        <f t="shared" si="6"/>
        <v>3832.1939700000007</v>
      </c>
    </row>
    <row r="114" spans="1:13" ht="24.9" customHeight="1" x14ac:dyDescent="0.3">
      <c r="A114" s="155">
        <v>565671</v>
      </c>
      <c r="B114" s="154" t="s">
        <v>390</v>
      </c>
      <c r="C114" s="154"/>
      <c r="D114" s="160" t="s">
        <v>775</v>
      </c>
      <c r="E114" s="160">
        <v>20</v>
      </c>
      <c r="F114" s="289">
        <f>IFERROR(IFERROR(VLOOKUP(B114,'Product Cost - Price'!$C$5:$L$205,10,FALSE),VLOOKUP(B114,'C- Raw Products Costs'!$A$3:$H$72,8,FALSE)),0)</f>
        <v>0.52188900000000005</v>
      </c>
      <c r="H114" s="162">
        <v>392</v>
      </c>
      <c r="I114" s="164">
        <f t="shared" si="4"/>
        <v>7840</v>
      </c>
      <c r="J114" s="166">
        <f t="shared" si="5"/>
        <v>4091.6097600000003</v>
      </c>
      <c r="L114" s="162">
        <v>480</v>
      </c>
      <c r="M114" s="165">
        <f t="shared" si="6"/>
        <v>250.50672000000003</v>
      </c>
    </row>
    <row r="115" spans="1:13" ht="24.9" customHeight="1" x14ac:dyDescent="0.3">
      <c r="A115" s="155">
        <v>565670</v>
      </c>
      <c r="B115" s="154" t="s">
        <v>389</v>
      </c>
      <c r="C115" s="154"/>
      <c r="D115" s="160" t="s">
        <v>775</v>
      </c>
      <c r="E115" s="160">
        <v>20</v>
      </c>
      <c r="F115" s="289">
        <f>IFERROR(IFERROR(VLOOKUP(B115,'Product Cost - Price'!$C$5:$L$205,10,FALSE),VLOOKUP(B115,'C- Raw Products Costs'!$A$3:$H$72,8,FALSE)),0)</f>
        <v>0.37275000000000003</v>
      </c>
      <c r="H115" s="162">
        <v>64</v>
      </c>
      <c r="I115" s="164">
        <f t="shared" si="4"/>
        <v>1280</v>
      </c>
      <c r="J115" s="166">
        <f t="shared" si="5"/>
        <v>477.12</v>
      </c>
      <c r="L115" s="162">
        <v>4200</v>
      </c>
      <c r="M115" s="165">
        <f t="shared" si="6"/>
        <v>1565.5500000000002</v>
      </c>
    </row>
    <row r="116" spans="1:13" ht="24.9" customHeight="1" x14ac:dyDescent="0.3">
      <c r="A116" s="155">
        <v>565668</v>
      </c>
      <c r="B116" s="154" t="s">
        <v>387</v>
      </c>
      <c r="C116" s="154"/>
      <c r="D116" s="160" t="s">
        <v>775</v>
      </c>
      <c r="E116" s="160">
        <v>20</v>
      </c>
      <c r="F116" s="289">
        <f>IFERROR(IFERROR(VLOOKUP(B116,'Product Cost - Price'!$C$5:$L$205,10,FALSE),VLOOKUP(B116,'C- Raw Products Costs'!$A$3:$H$72,8,FALSE)),0)</f>
        <v>0.44524525000000004</v>
      </c>
      <c r="H116" s="162">
        <v>28</v>
      </c>
      <c r="I116" s="164">
        <f t="shared" si="4"/>
        <v>560</v>
      </c>
      <c r="J116" s="166">
        <f t="shared" si="5"/>
        <v>249.33734000000001</v>
      </c>
      <c r="L116" s="162">
        <v>5160</v>
      </c>
      <c r="M116" s="165">
        <f t="shared" si="6"/>
        <v>2297.46549</v>
      </c>
    </row>
    <row r="117" spans="1:13" ht="24.9" customHeight="1" x14ac:dyDescent="0.3">
      <c r="A117" s="155">
        <v>543451</v>
      </c>
      <c r="B117" s="154" t="s">
        <v>98</v>
      </c>
      <c r="C117" s="154"/>
      <c r="D117" s="160" t="s">
        <v>775</v>
      </c>
      <c r="E117" s="160">
        <v>20</v>
      </c>
      <c r="F117" s="289">
        <f>IFERROR(IFERROR(VLOOKUP(B117,'Product Cost - Price'!$C$5:$L$205,10,FALSE),VLOOKUP(B117,'C- Raw Products Costs'!$A$3:$H$72,8,FALSE)),0)</f>
        <v>0.9</v>
      </c>
      <c r="H117" s="162">
        <v>40</v>
      </c>
      <c r="I117" s="164">
        <f t="shared" si="4"/>
        <v>800</v>
      </c>
      <c r="J117" s="166">
        <f t="shared" si="5"/>
        <v>720</v>
      </c>
      <c r="L117" s="162">
        <v>960</v>
      </c>
      <c r="M117" s="165">
        <f t="shared" si="6"/>
        <v>864</v>
      </c>
    </row>
    <row r="118" spans="1:13" ht="24.9" customHeight="1" x14ac:dyDescent="0.3">
      <c r="A118" s="155"/>
      <c r="B118" s="154" t="s">
        <v>233</v>
      </c>
      <c r="C118" s="154"/>
      <c r="D118" s="160"/>
      <c r="E118" s="160"/>
      <c r="F118" s="289">
        <f>IFERROR(IFERROR(VLOOKUP(B118,'Product Cost - Price'!$C$5:$L$205,10,FALSE),VLOOKUP(B118,'C- Raw Products Costs'!$A$3:$H$72,8,FALSE)),0)</f>
        <v>1.659</v>
      </c>
      <c r="H118" s="162"/>
      <c r="I118" s="164">
        <f t="shared" si="4"/>
        <v>0</v>
      </c>
      <c r="J118" s="166">
        <f t="shared" si="5"/>
        <v>0</v>
      </c>
      <c r="L118" s="162"/>
      <c r="M118" s="165">
        <f t="shared" si="6"/>
        <v>0</v>
      </c>
    </row>
    <row r="119" spans="1:13" ht="24.9" customHeight="1" x14ac:dyDescent="0.3">
      <c r="A119" s="155">
        <v>499435</v>
      </c>
      <c r="B119" s="154" t="s">
        <v>232</v>
      </c>
      <c r="C119" s="154"/>
      <c r="D119" s="160" t="s">
        <v>775</v>
      </c>
      <c r="E119" s="160">
        <v>20</v>
      </c>
      <c r="F119" s="289">
        <f>IFERROR(IFERROR(VLOOKUP(B119,'Product Cost - Price'!$C$5:$L$205,10,FALSE),VLOOKUP(B119,'C- Raw Products Costs'!$A$3:$H$72,8,FALSE)),0)</f>
        <v>1.659</v>
      </c>
      <c r="H119" s="162"/>
      <c r="I119" s="164">
        <f t="shared" si="4"/>
        <v>0</v>
      </c>
      <c r="J119" s="166">
        <f t="shared" si="5"/>
        <v>0</v>
      </c>
      <c r="L119" s="162">
        <v>760</v>
      </c>
      <c r="M119" s="165">
        <f t="shared" si="6"/>
        <v>1260.8399999999999</v>
      </c>
    </row>
    <row r="120" spans="1:13" ht="24.9" customHeight="1" x14ac:dyDescent="0.3">
      <c r="A120" s="155">
        <v>542686</v>
      </c>
      <c r="B120" s="154" t="s">
        <v>295</v>
      </c>
      <c r="C120" s="154"/>
      <c r="D120" s="160"/>
      <c r="E120" s="160"/>
      <c r="F120" s="289">
        <f>IFERROR(IFERROR(VLOOKUP(B120,'Product Cost - Price'!$C$5:$L$205,10,FALSE),VLOOKUP(B120,'C- Raw Products Costs'!$A$3:$H$72,8,FALSE)),0)</f>
        <v>1.659</v>
      </c>
      <c r="H120" s="162"/>
      <c r="I120" s="164">
        <f t="shared" si="4"/>
        <v>0</v>
      </c>
      <c r="J120" s="166">
        <f t="shared" si="5"/>
        <v>0</v>
      </c>
      <c r="L120" s="162"/>
      <c r="M120" s="165">
        <f t="shared" si="6"/>
        <v>0</v>
      </c>
    </row>
    <row r="121" spans="1:13" ht="24.9" customHeight="1" x14ac:dyDescent="0.3">
      <c r="A121" s="155"/>
      <c r="B121" s="154" t="s">
        <v>600</v>
      </c>
      <c r="C121" s="154"/>
      <c r="D121" s="160" t="s">
        <v>774</v>
      </c>
      <c r="E121" s="160">
        <v>1</v>
      </c>
      <c r="F121" s="289">
        <f>IFERROR(IFERROR(VLOOKUP(B121,'Product Cost - Price'!$C$5:$L$205,10,FALSE),VLOOKUP(B121,'C- Raw Products Costs'!$A$3:$H$72,8,FALSE)),0)</f>
        <v>0.92500000000000004</v>
      </c>
      <c r="H121" s="162">
        <v>400</v>
      </c>
      <c r="I121" s="164">
        <f t="shared" si="4"/>
        <v>400</v>
      </c>
      <c r="J121" s="166">
        <f t="shared" si="5"/>
        <v>370</v>
      </c>
      <c r="L121" s="162">
        <v>320</v>
      </c>
      <c r="M121" s="165">
        <f t="shared" si="6"/>
        <v>296</v>
      </c>
    </row>
    <row r="122" spans="1:13" ht="24.9" customHeight="1" x14ac:dyDescent="0.3">
      <c r="A122" s="155"/>
      <c r="B122" s="154" t="s">
        <v>152</v>
      </c>
      <c r="C122" s="154"/>
      <c r="D122" s="160" t="s">
        <v>774</v>
      </c>
      <c r="E122" s="160">
        <v>1</v>
      </c>
      <c r="F122" s="289">
        <f>IFERROR(IFERROR(VLOOKUP(B122,'Product Cost - Price'!$C$5:$L$205,10,FALSE),VLOOKUP(B122,'C- Raw Products Costs'!$A$3:$H$72,8,FALSE)),0)</f>
        <v>0.88200000000000001</v>
      </c>
      <c r="H122" s="162">
        <v>13000</v>
      </c>
      <c r="I122" s="164">
        <f t="shared" si="4"/>
        <v>13000</v>
      </c>
      <c r="J122" s="166">
        <f t="shared" si="5"/>
        <v>11466</v>
      </c>
      <c r="L122" s="162">
        <v>15000</v>
      </c>
      <c r="M122" s="165">
        <f t="shared" si="6"/>
        <v>13230</v>
      </c>
    </row>
    <row r="123" spans="1:13" ht="24.9" customHeight="1" x14ac:dyDescent="0.3">
      <c r="A123" s="155">
        <v>383791</v>
      </c>
      <c r="B123" s="154" t="s">
        <v>151</v>
      </c>
      <c r="C123" s="154"/>
      <c r="D123" s="160" t="s">
        <v>775</v>
      </c>
      <c r="E123" s="160">
        <v>20</v>
      </c>
      <c r="F123" s="289">
        <f>IFERROR(IFERROR(VLOOKUP(B123,'Product Cost - Price'!$C$5:$L$205,10,FALSE),VLOOKUP(B123,'C- Raw Products Costs'!$A$3:$H$72,8,FALSE)),0)</f>
        <v>0.88200000000000001</v>
      </c>
      <c r="H123" s="162">
        <v>32</v>
      </c>
      <c r="I123" s="164">
        <f t="shared" si="4"/>
        <v>640</v>
      </c>
      <c r="J123" s="166">
        <f t="shared" si="5"/>
        <v>564.48</v>
      </c>
      <c r="L123" s="162">
        <v>640</v>
      </c>
      <c r="M123" s="165">
        <f t="shared" si="6"/>
        <v>564.48</v>
      </c>
    </row>
    <row r="124" spans="1:13" ht="24.9" customHeight="1" x14ac:dyDescent="0.3">
      <c r="A124" s="155">
        <v>503637</v>
      </c>
      <c r="B124" s="154" t="s">
        <v>88</v>
      </c>
      <c r="C124" s="154"/>
      <c r="D124" s="160" t="s">
        <v>774</v>
      </c>
      <c r="E124" s="160">
        <v>1</v>
      </c>
      <c r="F124" s="289">
        <f>IFERROR(IFERROR(VLOOKUP(B124,'Product Cost - Price'!$C$5:$L$205,10,FALSE),VLOOKUP(B124,'C- Raw Products Costs'!$A$3:$H$72,8,FALSE)),0)</f>
        <v>0.88200000000000001</v>
      </c>
      <c r="H124" s="162">
        <v>4100</v>
      </c>
      <c r="I124" s="164">
        <f t="shared" si="4"/>
        <v>4100</v>
      </c>
      <c r="J124" s="166">
        <f t="shared" si="5"/>
        <v>3616.2</v>
      </c>
      <c r="L124" s="162">
        <v>7000</v>
      </c>
      <c r="M124" s="165">
        <f t="shared" si="6"/>
        <v>6174</v>
      </c>
    </row>
    <row r="125" spans="1:13" ht="24.9" customHeight="1" x14ac:dyDescent="0.3">
      <c r="A125" s="155"/>
      <c r="B125" s="154" t="s">
        <v>601</v>
      </c>
      <c r="C125" s="154"/>
      <c r="D125" s="160"/>
      <c r="E125" s="160"/>
      <c r="F125" s="289">
        <f>IFERROR(IFERROR(VLOOKUP(B125,'Product Cost - Price'!$C$5:$L$205,10,FALSE),VLOOKUP(B125,'C- Raw Products Costs'!$A$3:$H$72,8,FALSE)),0)</f>
        <v>475</v>
      </c>
      <c r="H125" s="162"/>
      <c r="I125" s="164">
        <f t="shared" si="4"/>
        <v>0</v>
      </c>
      <c r="J125" s="166">
        <f t="shared" si="5"/>
        <v>0</v>
      </c>
      <c r="L125" s="162"/>
      <c r="M125" s="165">
        <f t="shared" si="6"/>
        <v>0</v>
      </c>
    </row>
    <row r="126" spans="1:13" ht="24.9" customHeight="1" x14ac:dyDescent="0.3">
      <c r="A126" s="155"/>
      <c r="B126" s="154" t="s">
        <v>602</v>
      </c>
      <c r="C126" s="154"/>
      <c r="D126" s="160" t="s">
        <v>774</v>
      </c>
      <c r="E126" s="160">
        <v>1</v>
      </c>
      <c r="F126" s="289">
        <f>IFERROR(IFERROR(VLOOKUP(B126,'Product Cost - Price'!$C$5:$L$205,10,FALSE),VLOOKUP(B126,'C- Raw Products Costs'!$A$3:$H$72,8,FALSE)),0)</f>
        <v>24.25</v>
      </c>
      <c r="H126" s="162">
        <v>32</v>
      </c>
      <c r="I126" s="164">
        <f t="shared" si="4"/>
        <v>32</v>
      </c>
      <c r="J126" s="166">
        <f t="shared" si="5"/>
        <v>776</v>
      </c>
      <c r="L126" s="162">
        <v>24</v>
      </c>
      <c r="M126" s="165">
        <f t="shared" si="6"/>
        <v>582</v>
      </c>
    </row>
    <row r="127" spans="1:13" ht="24.9" customHeight="1" x14ac:dyDescent="0.3">
      <c r="A127" s="155"/>
      <c r="B127" s="154" t="s">
        <v>604</v>
      </c>
      <c r="C127" s="154"/>
      <c r="D127" s="160" t="s">
        <v>775</v>
      </c>
      <c r="E127" s="160">
        <v>20</v>
      </c>
      <c r="F127" s="289">
        <f>IFERROR(IFERROR(VLOOKUP(B127,'Product Cost - Price'!$C$5:$L$205,10,FALSE),VLOOKUP(B127,'C- Raw Products Costs'!$A$3:$H$72,8,FALSE)),0)</f>
        <v>1.1975</v>
      </c>
      <c r="H127" s="162">
        <v>16</v>
      </c>
      <c r="I127" s="164">
        <f t="shared" si="4"/>
        <v>320</v>
      </c>
      <c r="J127" s="166">
        <f t="shared" si="5"/>
        <v>383.2</v>
      </c>
      <c r="L127" s="162">
        <v>340</v>
      </c>
      <c r="M127" s="165">
        <f t="shared" si="6"/>
        <v>407.15</v>
      </c>
    </row>
    <row r="128" spans="1:13" ht="24.9" customHeight="1" x14ac:dyDescent="0.3">
      <c r="A128" s="155"/>
      <c r="B128" s="154" t="s">
        <v>605</v>
      </c>
      <c r="C128" s="154"/>
      <c r="D128" s="160" t="s">
        <v>774</v>
      </c>
      <c r="E128" s="160">
        <v>1</v>
      </c>
      <c r="F128" s="289">
        <f>IFERROR(IFERROR(VLOOKUP(B128,'Product Cost - Price'!$C$5:$L$205,10,FALSE),VLOOKUP(B128,'C- Raw Products Costs'!$A$3:$H$72,8,FALSE)),0)</f>
        <v>6</v>
      </c>
      <c r="H128" s="162">
        <v>36</v>
      </c>
      <c r="I128" s="164">
        <f t="shared" si="4"/>
        <v>36</v>
      </c>
      <c r="J128" s="166">
        <f t="shared" si="5"/>
        <v>216</v>
      </c>
      <c r="L128" s="162"/>
      <c r="M128" s="165">
        <f t="shared" si="6"/>
        <v>0</v>
      </c>
    </row>
    <row r="129" spans="1:13" ht="24.9" customHeight="1" x14ac:dyDescent="0.3">
      <c r="A129" s="155">
        <v>408408</v>
      </c>
      <c r="B129" s="154" t="s">
        <v>64</v>
      </c>
      <c r="C129" s="154"/>
      <c r="D129" s="160"/>
      <c r="E129" s="160"/>
      <c r="F129" s="289">
        <f>IFERROR(IFERROR(VLOOKUP(B129,'Product Cost - Price'!$C$5:$L$205,10,FALSE),VLOOKUP(B129,'C- Raw Products Costs'!$A$3:$H$72,8,FALSE)),0)</f>
        <v>51</v>
      </c>
      <c r="H129" s="162"/>
      <c r="I129" s="164">
        <f t="shared" si="4"/>
        <v>0</v>
      </c>
      <c r="J129" s="166">
        <f t="shared" si="5"/>
        <v>0</v>
      </c>
      <c r="L129" s="162"/>
      <c r="M129" s="165">
        <f t="shared" si="6"/>
        <v>0</v>
      </c>
    </row>
    <row r="130" spans="1:13" ht="24.9" customHeight="1" x14ac:dyDescent="0.3">
      <c r="A130" s="155">
        <v>491985</v>
      </c>
      <c r="B130" s="154" t="s">
        <v>80</v>
      </c>
      <c r="C130" s="154"/>
      <c r="D130" s="160"/>
      <c r="E130" s="160"/>
      <c r="F130" s="289">
        <f>IFERROR(IFERROR(VLOOKUP(B130,'Product Cost - Price'!$C$5:$L$205,10,FALSE),VLOOKUP(B130,'C- Raw Products Costs'!$A$3:$H$72,8,FALSE)),0)</f>
        <v>0.4336659722222222</v>
      </c>
      <c r="H130" s="162"/>
      <c r="I130" s="164">
        <f t="shared" si="4"/>
        <v>0</v>
      </c>
      <c r="J130" s="166">
        <f t="shared" si="5"/>
        <v>0</v>
      </c>
      <c r="L130" s="162"/>
      <c r="M130" s="165">
        <f t="shared" si="6"/>
        <v>0</v>
      </c>
    </row>
    <row r="131" spans="1:13" ht="24.9" customHeight="1" x14ac:dyDescent="0.3">
      <c r="A131" s="155">
        <v>491986</v>
      </c>
      <c r="B131" s="154" t="s">
        <v>82</v>
      </c>
      <c r="C131" s="154"/>
      <c r="D131" s="160"/>
      <c r="E131" s="160"/>
      <c r="F131" s="289">
        <f>IFERROR(IFERROR(VLOOKUP(B131,'Product Cost - Price'!$C$5:$L$205,10,FALSE),VLOOKUP(B131,'C- Raw Products Costs'!$A$3:$H$72,8,FALSE)),0)</f>
        <v>0.46599236111111109</v>
      </c>
      <c r="H131" s="162"/>
      <c r="I131" s="164">
        <f t="shared" ref="I131:I194" si="7">E131*H131</f>
        <v>0</v>
      </c>
      <c r="J131" s="166">
        <f t="shared" ref="J131:J194" si="8">I131*F131</f>
        <v>0</v>
      </c>
      <c r="L131" s="162"/>
      <c r="M131" s="165">
        <f t="shared" si="6"/>
        <v>0</v>
      </c>
    </row>
    <row r="132" spans="1:13" ht="24.9" customHeight="1" x14ac:dyDescent="0.3">
      <c r="A132" s="155"/>
      <c r="B132" s="154" t="s">
        <v>33</v>
      </c>
      <c r="C132" s="154"/>
      <c r="D132" s="160" t="s">
        <v>774</v>
      </c>
      <c r="E132" s="160">
        <v>1</v>
      </c>
      <c r="F132" s="289">
        <f>IFERROR(IFERROR(VLOOKUP(B132,'Product Cost - Price'!$C$5:$L$205,10,FALSE),VLOOKUP(B132,'C- Raw Products Costs'!$A$3:$H$72,8,FALSE)),0)</f>
        <v>1.1655</v>
      </c>
      <c r="H132" s="162">
        <v>10260</v>
      </c>
      <c r="I132" s="164">
        <f t="shared" si="7"/>
        <v>10260</v>
      </c>
      <c r="J132" s="166">
        <f t="shared" si="8"/>
        <v>11958.03</v>
      </c>
      <c r="L132" s="162">
        <v>10000</v>
      </c>
      <c r="M132" s="165">
        <f t="shared" si="6"/>
        <v>11655</v>
      </c>
    </row>
    <row r="133" spans="1:13" ht="24.9" customHeight="1" x14ac:dyDescent="0.3">
      <c r="A133" s="155">
        <v>383793</v>
      </c>
      <c r="B133" s="154" t="s">
        <v>32</v>
      </c>
      <c r="C133" s="154"/>
      <c r="D133" s="160" t="s">
        <v>775</v>
      </c>
      <c r="E133" s="160">
        <v>20</v>
      </c>
      <c r="F133" s="289">
        <f>IFERROR(IFERROR(VLOOKUP(B133,'Product Cost - Price'!$C$5:$L$205,10,FALSE),VLOOKUP(B133,'C- Raw Products Costs'!$A$3:$H$72,8,FALSE)),0)</f>
        <v>1.1655</v>
      </c>
      <c r="H133" s="162">
        <v>32</v>
      </c>
      <c r="I133" s="164">
        <f t="shared" si="7"/>
        <v>640</v>
      </c>
      <c r="J133" s="166">
        <f t="shared" si="8"/>
        <v>745.92</v>
      </c>
      <c r="L133" s="162">
        <v>800</v>
      </c>
      <c r="M133" s="165">
        <f t="shared" si="6"/>
        <v>932.4</v>
      </c>
    </row>
    <row r="134" spans="1:13" ht="24.9" customHeight="1" x14ac:dyDescent="0.3">
      <c r="A134" s="155">
        <v>503636</v>
      </c>
      <c r="B134" s="154" t="s">
        <v>86</v>
      </c>
      <c r="C134" s="154"/>
      <c r="D134" s="160"/>
      <c r="E134" s="160"/>
      <c r="F134" s="289">
        <f>IFERROR(IFERROR(VLOOKUP(B134,'Product Cost - Price'!$C$5:$L$205,10,FALSE),VLOOKUP(B134,'C- Raw Products Costs'!$A$3:$H$72,8,FALSE)),0)</f>
        <v>1.1655</v>
      </c>
      <c r="H134" s="162"/>
      <c r="I134" s="164">
        <f t="shared" si="7"/>
        <v>0</v>
      </c>
      <c r="J134" s="166">
        <f t="shared" si="8"/>
        <v>0</v>
      </c>
      <c r="L134" s="162"/>
      <c r="M134" s="165">
        <f t="shared" si="6"/>
        <v>0</v>
      </c>
    </row>
    <row r="135" spans="1:13" ht="24.9" customHeight="1" x14ac:dyDescent="0.3">
      <c r="A135" s="155"/>
      <c r="B135" s="154" t="s">
        <v>607</v>
      </c>
      <c r="C135" s="154"/>
      <c r="D135" s="160" t="s">
        <v>774</v>
      </c>
      <c r="E135" s="160">
        <v>1</v>
      </c>
      <c r="F135" s="289">
        <f>IFERROR(IFERROR(VLOOKUP(B135,'Product Cost - Price'!$C$5:$L$205,10,FALSE),VLOOKUP(B135,'C- Raw Products Costs'!$A$3:$H$72,8,FALSE)),0)</f>
        <v>0.64500000000000002</v>
      </c>
      <c r="H135" s="162">
        <v>1400</v>
      </c>
      <c r="I135" s="164">
        <f t="shared" si="7"/>
        <v>1400</v>
      </c>
      <c r="J135" s="166">
        <f t="shared" si="8"/>
        <v>903</v>
      </c>
      <c r="L135" s="162">
        <v>400</v>
      </c>
      <c r="M135" s="165">
        <f t="shared" si="6"/>
        <v>258</v>
      </c>
    </row>
    <row r="136" spans="1:13" ht="24.9" customHeight="1" x14ac:dyDescent="0.3">
      <c r="A136" s="155"/>
      <c r="B136" s="154" t="s">
        <v>36</v>
      </c>
      <c r="C136" s="154"/>
      <c r="D136" s="160" t="s">
        <v>774</v>
      </c>
      <c r="E136" s="160">
        <v>1</v>
      </c>
      <c r="F136" s="289">
        <f>IFERROR(IFERROR(VLOOKUP(B136,'Product Cost - Price'!$C$5:$L$205,10,FALSE),VLOOKUP(B136,'C- Raw Products Costs'!$A$3:$H$72,8,FALSE)),0)</f>
        <v>0.47775000000000001</v>
      </c>
      <c r="H136" s="162">
        <v>75340</v>
      </c>
      <c r="I136" s="164">
        <f t="shared" si="7"/>
        <v>75340</v>
      </c>
      <c r="J136" s="166">
        <f t="shared" si="8"/>
        <v>35993.684999999998</v>
      </c>
      <c r="L136" s="162">
        <v>85000</v>
      </c>
      <c r="M136" s="165">
        <f t="shared" si="6"/>
        <v>40608.75</v>
      </c>
    </row>
    <row r="137" spans="1:13" ht="24.9" customHeight="1" x14ac:dyDescent="0.3">
      <c r="A137" s="155">
        <v>383794</v>
      </c>
      <c r="B137" s="154" t="s">
        <v>35</v>
      </c>
      <c r="C137" s="154"/>
      <c r="D137" s="160" t="s">
        <v>775</v>
      </c>
      <c r="E137" s="160">
        <v>20</v>
      </c>
      <c r="F137" s="289">
        <f>IFERROR(IFERROR(VLOOKUP(B137,'Product Cost - Price'!$C$5:$L$205,10,FALSE),VLOOKUP(B137,'C- Raw Products Costs'!$A$3:$H$72,8,FALSE)),0)</f>
        <v>0.47775000000000001</v>
      </c>
      <c r="H137" s="162">
        <v>145</v>
      </c>
      <c r="I137" s="164">
        <f t="shared" si="7"/>
        <v>2900</v>
      </c>
      <c r="J137" s="166">
        <f t="shared" si="8"/>
        <v>1385.4750000000001</v>
      </c>
      <c r="L137" s="162">
        <v>920</v>
      </c>
      <c r="M137" s="165">
        <f t="shared" si="6"/>
        <v>439.53000000000003</v>
      </c>
    </row>
    <row r="138" spans="1:13" ht="24.9" customHeight="1" x14ac:dyDescent="0.3">
      <c r="A138" s="155">
        <v>503635</v>
      </c>
      <c r="B138" s="154" t="s">
        <v>84</v>
      </c>
      <c r="C138" s="154"/>
      <c r="D138" s="160" t="s">
        <v>774</v>
      </c>
      <c r="E138" s="160">
        <v>1</v>
      </c>
      <c r="F138" s="289">
        <f>IFERROR(IFERROR(VLOOKUP(B138,'Product Cost - Price'!$C$5:$L$205,10,FALSE),VLOOKUP(B138,'C- Raw Products Costs'!$A$3:$H$72,8,FALSE)),0)</f>
        <v>0.47775000000000001</v>
      </c>
      <c r="H138" s="162">
        <v>4000</v>
      </c>
      <c r="I138" s="164">
        <f t="shared" si="7"/>
        <v>4000</v>
      </c>
      <c r="J138" s="166">
        <f t="shared" si="8"/>
        <v>1911</v>
      </c>
      <c r="L138" s="162"/>
      <c r="M138" s="165">
        <f t="shared" si="6"/>
        <v>0</v>
      </c>
    </row>
    <row r="139" spans="1:13" ht="24.9" customHeight="1" x14ac:dyDescent="0.3">
      <c r="A139" s="155">
        <v>489368</v>
      </c>
      <c r="B139" s="154" t="s">
        <v>226</v>
      </c>
      <c r="C139" s="154"/>
      <c r="D139" s="160"/>
      <c r="E139" s="160"/>
      <c r="F139" s="289">
        <f>IFERROR(IFERROR(VLOOKUP(B139,'Product Cost - Price'!$C$5:$L$205,10,FALSE),VLOOKUP(B139,'C- Raw Products Costs'!$A$3:$H$72,8,FALSE)),0)</f>
        <v>1.2493965517241379</v>
      </c>
      <c r="H139" s="162"/>
      <c r="I139" s="164">
        <f t="shared" si="7"/>
        <v>0</v>
      </c>
      <c r="J139" s="166">
        <f t="shared" si="8"/>
        <v>0</v>
      </c>
      <c r="L139" s="162"/>
      <c r="M139" s="165">
        <f t="shared" si="6"/>
        <v>0</v>
      </c>
    </row>
    <row r="140" spans="1:13" ht="24.9" customHeight="1" x14ac:dyDescent="0.3">
      <c r="A140" s="155">
        <v>492032</v>
      </c>
      <c r="B140" s="154" t="s">
        <v>227</v>
      </c>
      <c r="C140" s="154"/>
      <c r="D140" s="160" t="s">
        <v>775</v>
      </c>
      <c r="E140" s="160">
        <v>20</v>
      </c>
      <c r="F140" s="289">
        <f>IFERROR(IFERROR(VLOOKUP(B140,'Product Cost - Price'!$C$5:$L$205,10,FALSE),VLOOKUP(B140,'C- Raw Products Costs'!$A$3:$H$72,8,FALSE)),0)</f>
        <v>0.69462499999999983</v>
      </c>
      <c r="H140" s="162"/>
      <c r="I140" s="164">
        <f t="shared" si="7"/>
        <v>0</v>
      </c>
      <c r="J140" s="166">
        <f t="shared" si="8"/>
        <v>0</v>
      </c>
      <c r="L140" s="162">
        <v>2100</v>
      </c>
      <c r="M140" s="165">
        <f t="shared" si="6"/>
        <v>1458.7124999999996</v>
      </c>
    </row>
    <row r="141" spans="1:13" ht="24.9" customHeight="1" x14ac:dyDescent="0.3">
      <c r="A141" s="155">
        <v>484377</v>
      </c>
      <c r="B141" s="154" t="s">
        <v>222</v>
      </c>
      <c r="C141" s="154"/>
      <c r="D141" s="160"/>
      <c r="E141" s="160"/>
      <c r="F141" s="289">
        <f>IFERROR(IFERROR(VLOOKUP(B141,'Product Cost - Price'!$C$5:$L$205,10,FALSE),VLOOKUP(B141,'C- Raw Products Costs'!$A$3:$H$72,8,FALSE)),0)</f>
        <v>1.014923076923077</v>
      </c>
      <c r="H141" s="162"/>
      <c r="I141" s="164">
        <f t="shared" si="7"/>
        <v>0</v>
      </c>
      <c r="J141" s="166">
        <f t="shared" si="8"/>
        <v>0</v>
      </c>
      <c r="L141" s="162"/>
      <c r="M141" s="165">
        <f t="shared" si="6"/>
        <v>0</v>
      </c>
    </row>
    <row r="142" spans="1:13" ht="24.9" customHeight="1" x14ac:dyDescent="0.3">
      <c r="A142" s="155">
        <v>483297</v>
      </c>
      <c r="B142" s="154" t="s">
        <v>218</v>
      </c>
      <c r="C142" s="154"/>
      <c r="D142" s="160" t="s">
        <v>775</v>
      </c>
      <c r="E142" s="160">
        <v>20</v>
      </c>
      <c r="F142" s="289">
        <f>IFERROR(IFERROR(VLOOKUP(B142,'Product Cost - Price'!$C$5:$L$205,10,FALSE),VLOOKUP(B142,'C- Raw Products Costs'!$A$3:$H$72,8,FALSE)),0)</f>
        <v>1.014923076923077</v>
      </c>
      <c r="H142" s="162">
        <v>14</v>
      </c>
      <c r="I142" s="164">
        <f t="shared" si="7"/>
        <v>280</v>
      </c>
      <c r="J142" s="166">
        <f t="shared" si="8"/>
        <v>284.17846153846159</v>
      </c>
      <c r="L142" s="162">
        <v>1240</v>
      </c>
      <c r="M142" s="165">
        <f t="shared" si="6"/>
        <v>1258.5046153846156</v>
      </c>
    </row>
    <row r="143" spans="1:13" ht="24.9" customHeight="1" x14ac:dyDescent="0.3">
      <c r="A143" s="155">
        <v>500619</v>
      </c>
      <c r="B143" s="154" t="s">
        <v>235</v>
      </c>
      <c r="C143" s="154"/>
      <c r="D143" s="160"/>
      <c r="E143" s="160"/>
      <c r="F143" s="289">
        <f>IFERROR(IFERROR(VLOOKUP(B143,'Product Cost - Price'!$C$5:$L$205,10,FALSE),VLOOKUP(B143,'C- Raw Products Costs'!$A$3:$H$72,8,FALSE)),0)</f>
        <v>1.014923076923077</v>
      </c>
      <c r="H143" s="162"/>
      <c r="I143" s="164">
        <f t="shared" si="7"/>
        <v>0</v>
      </c>
      <c r="J143" s="166">
        <f t="shared" si="8"/>
        <v>0</v>
      </c>
      <c r="L143" s="162"/>
      <c r="M143" s="165">
        <f t="shared" si="6"/>
        <v>0</v>
      </c>
    </row>
    <row r="144" spans="1:13" ht="24.9" customHeight="1" x14ac:dyDescent="0.3">
      <c r="A144" s="155">
        <v>484379</v>
      </c>
      <c r="B144" s="154" t="s">
        <v>224</v>
      </c>
      <c r="C144" s="154"/>
      <c r="D144" s="160"/>
      <c r="E144" s="160"/>
      <c r="F144" s="289">
        <f>IFERROR(IFERROR(VLOOKUP(B144,'Product Cost - Price'!$C$5:$L$205,10,FALSE),VLOOKUP(B144,'C- Raw Products Costs'!$A$3:$H$72,8,FALSE)),0)</f>
        <v>1.254904761904762</v>
      </c>
      <c r="H144" s="162"/>
      <c r="I144" s="164">
        <f t="shared" si="7"/>
        <v>0</v>
      </c>
      <c r="J144" s="166">
        <f t="shared" si="8"/>
        <v>0</v>
      </c>
      <c r="L144" s="162"/>
      <c r="M144" s="165">
        <f t="shared" si="6"/>
        <v>0</v>
      </c>
    </row>
    <row r="145" spans="1:13" ht="24.9" customHeight="1" x14ac:dyDescent="0.3">
      <c r="A145" s="155">
        <v>483298</v>
      </c>
      <c r="B145" s="154" t="s">
        <v>219</v>
      </c>
      <c r="C145" s="154"/>
      <c r="D145" s="160" t="s">
        <v>775</v>
      </c>
      <c r="E145" s="160">
        <v>20</v>
      </c>
      <c r="F145" s="289">
        <f>IFERROR(IFERROR(VLOOKUP(B145,'Product Cost - Price'!$C$5:$L$205,10,FALSE),VLOOKUP(B145,'C- Raw Products Costs'!$A$3:$H$72,8,FALSE)),0)</f>
        <v>1.254904761904762</v>
      </c>
      <c r="H145" s="162">
        <v>90</v>
      </c>
      <c r="I145" s="164">
        <f t="shared" si="7"/>
        <v>1800</v>
      </c>
      <c r="J145" s="166">
        <f t="shared" si="8"/>
        <v>2258.8285714285716</v>
      </c>
      <c r="L145" s="162">
        <v>1800</v>
      </c>
      <c r="M145" s="165">
        <f t="shared" si="6"/>
        <v>2258.8285714285716</v>
      </c>
    </row>
    <row r="146" spans="1:13" ht="24.9" customHeight="1" x14ac:dyDescent="0.3">
      <c r="A146" s="155">
        <v>540937</v>
      </c>
      <c r="B146" s="154" t="s">
        <v>282</v>
      </c>
      <c r="C146" s="154"/>
      <c r="D146" s="160"/>
      <c r="E146" s="160"/>
      <c r="F146" s="289">
        <f>IFERROR(IFERROR(VLOOKUP(B146,'Product Cost - Price'!$C$5:$L$205,10,FALSE),VLOOKUP(B146,'C- Raw Products Costs'!$A$3:$H$72,8,FALSE)),0)</f>
        <v>1.254904761904762</v>
      </c>
      <c r="H146" s="162"/>
      <c r="I146" s="164">
        <f t="shared" si="7"/>
        <v>0</v>
      </c>
      <c r="J146" s="166">
        <f t="shared" si="8"/>
        <v>0</v>
      </c>
      <c r="L146" s="162"/>
      <c r="M146" s="165">
        <f t="shared" si="6"/>
        <v>0</v>
      </c>
    </row>
    <row r="147" spans="1:13" ht="24.9" customHeight="1" x14ac:dyDescent="0.3">
      <c r="A147" s="155">
        <v>483300</v>
      </c>
      <c r="B147" s="154" t="s">
        <v>220</v>
      </c>
      <c r="C147" s="154"/>
      <c r="D147" s="160" t="s">
        <v>775</v>
      </c>
      <c r="E147" s="160">
        <v>20</v>
      </c>
      <c r="F147" s="289">
        <f>IFERROR(IFERROR(VLOOKUP(B147,'Product Cost - Price'!$C$5:$L$205,10,FALSE),VLOOKUP(B147,'C- Raw Products Costs'!$A$3:$H$72,8,FALSE)),0)</f>
        <v>1.2669090909090908</v>
      </c>
      <c r="H147" s="162">
        <v>7</v>
      </c>
      <c r="I147" s="164">
        <f t="shared" si="7"/>
        <v>140</v>
      </c>
      <c r="J147" s="166">
        <f t="shared" si="8"/>
        <v>177.36727272727271</v>
      </c>
      <c r="L147" s="162">
        <v>180</v>
      </c>
      <c r="M147" s="165">
        <f t="shared" si="6"/>
        <v>228.04363636363632</v>
      </c>
    </row>
    <row r="148" spans="1:13" ht="24.9" customHeight="1" x14ac:dyDescent="0.3">
      <c r="A148" s="155">
        <v>503902</v>
      </c>
      <c r="B148" s="154" t="s">
        <v>256</v>
      </c>
      <c r="C148" s="154"/>
      <c r="D148" s="160"/>
      <c r="E148" s="160"/>
      <c r="F148" s="289">
        <f>IFERROR(IFERROR(VLOOKUP(B148,'Product Cost - Price'!$C$5:$L$205,10,FALSE),VLOOKUP(B148,'C- Raw Products Costs'!$A$3:$H$72,8,FALSE)),0)</f>
        <v>1.2669090909090908</v>
      </c>
      <c r="H148" s="162"/>
      <c r="I148" s="164">
        <f t="shared" si="7"/>
        <v>0</v>
      </c>
      <c r="J148" s="166">
        <f t="shared" si="8"/>
        <v>0</v>
      </c>
      <c r="L148" s="162"/>
      <c r="M148" s="165">
        <f t="shared" ref="M148:M211" si="9">L148*F148</f>
        <v>0</v>
      </c>
    </row>
    <row r="149" spans="1:13" ht="24.9" customHeight="1" x14ac:dyDescent="0.3">
      <c r="A149" s="155">
        <v>484376</v>
      </c>
      <c r="B149" s="154" t="s">
        <v>79</v>
      </c>
      <c r="C149" s="154"/>
      <c r="D149" s="160"/>
      <c r="E149" s="160"/>
      <c r="F149" s="289">
        <f>IFERROR(IFERROR(VLOOKUP(B149,'Product Cost - Price'!$C$5:$L$205,10,FALSE),VLOOKUP(B149,'C- Raw Products Costs'!$A$3:$H$72,8,FALSE)),0)</f>
        <v>1.2410769230769232</v>
      </c>
      <c r="H149" s="162"/>
      <c r="I149" s="164">
        <f t="shared" si="7"/>
        <v>0</v>
      </c>
      <c r="J149" s="166">
        <f t="shared" si="8"/>
        <v>0</v>
      </c>
      <c r="L149" s="162"/>
      <c r="M149" s="165">
        <f t="shared" si="9"/>
        <v>0</v>
      </c>
    </row>
    <row r="150" spans="1:13" ht="24.9" customHeight="1" x14ac:dyDescent="0.3">
      <c r="A150" s="155">
        <v>483299</v>
      </c>
      <c r="B150" s="154" t="s">
        <v>77</v>
      </c>
      <c r="C150" s="154"/>
      <c r="D150" s="160" t="s">
        <v>775</v>
      </c>
      <c r="E150" s="160">
        <v>20</v>
      </c>
      <c r="F150" s="289">
        <f>IFERROR(IFERROR(VLOOKUP(B150,'Product Cost - Price'!$C$5:$L$205,10,FALSE),VLOOKUP(B150,'C- Raw Products Costs'!$A$3:$H$72,8,FALSE)),0)</f>
        <v>1.2410769230769232</v>
      </c>
      <c r="H150" s="162">
        <v>28</v>
      </c>
      <c r="I150" s="164">
        <f t="shared" si="7"/>
        <v>560</v>
      </c>
      <c r="J150" s="166">
        <f t="shared" si="8"/>
        <v>695.00307692307695</v>
      </c>
      <c r="L150" s="162">
        <v>520</v>
      </c>
      <c r="M150" s="165">
        <f t="shared" si="9"/>
        <v>645.36</v>
      </c>
    </row>
    <row r="151" spans="1:13" ht="24.9" customHeight="1" x14ac:dyDescent="0.3">
      <c r="A151" s="155">
        <v>483301</v>
      </c>
      <c r="B151" s="154" t="s">
        <v>221</v>
      </c>
      <c r="C151" s="154"/>
      <c r="D151" s="160"/>
      <c r="E151" s="160"/>
      <c r="F151" s="289">
        <f>IFERROR(IFERROR(VLOOKUP(B151,'Product Cost - Price'!$C$5:$L$205,10,FALSE),VLOOKUP(B151,'C- Raw Products Costs'!$A$3:$H$72,8,FALSE)),0)</f>
        <v>1.2410769230769232</v>
      </c>
      <c r="H151" s="162"/>
      <c r="I151" s="164">
        <f t="shared" si="7"/>
        <v>0</v>
      </c>
      <c r="J151" s="166">
        <f t="shared" si="8"/>
        <v>0</v>
      </c>
      <c r="L151" s="162"/>
      <c r="M151" s="165">
        <f t="shared" si="9"/>
        <v>0</v>
      </c>
    </row>
    <row r="152" spans="1:13" ht="24.9" customHeight="1" x14ac:dyDescent="0.3">
      <c r="A152" s="155">
        <v>484380</v>
      </c>
      <c r="B152" s="154" t="s">
        <v>225</v>
      </c>
      <c r="C152" s="154"/>
      <c r="D152" s="160"/>
      <c r="E152" s="160"/>
      <c r="F152" s="289">
        <f>IFERROR(IFERROR(VLOOKUP(B152,'Product Cost - Price'!$C$5:$L$205,10,FALSE),VLOOKUP(B152,'C- Raw Products Costs'!$A$3:$H$72,8,FALSE)),0)</f>
        <v>0.66285608856088551</v>
      </c>
      <c r="H152" s="162"/>
      <c r="I152" s="164">
        <f t="shared" si="7"/>
        <v>0</v>
      </c>
      <c r="J152" s="166">
        <f t="shared" si="8"/>
        <v>0</v>
      </c>
      <c r="L152" s="162"/>
      <c r="M152" s="165">
        <f t="shared" si="9"/>
        <v>0</v>
      </c>
    </row>
    <row r="153" spans="1:13" ht="24.9" customHeight="1" x14ac:dyDescent="0.3">
      <c r="A153" s="155">
        <v>472761</v>
      </c>
      <c r="B153" s="154" t="s">
        <v>215</v>
      </c>
      <c r="C153" s="154"/>
      <c r="D153" s="160" t="s">
        <v>775</v>
      </c>
      <c r="E153" s="160">
        <v>20</v>
      </c>
      <c r="F153" s="289">
        <f>IFERROR(IFERROR(VLOOKUP(B153,'Product Cost - Price'!$C$5:$L$205,10,FALSE),VLOOKUP(B153,'C- Raw Products Costs'!$A$3:$H$72,8,FALSE)),0)</f>
        <v>0.66285608856088551</v>
      </c>
      <c r="H153" s="162">
        <v>199</v>
      </c>
      <c r="I153" s="164">
        <f t="shared" si="7"/>
        <v>3980</v>
      </c>
      <c r="J153" s="166">
        <f t="shared" si="8"/>
        <v>2638.1672324723245</v>
      </c>
      <c r="L153" s="162">
        <v>440</v>
      </c>
      <c r="M153" s="165">
        <f t="shared" si="9"/>
        <v>291.65667896678963</v>
      </c>
    </row>
    <row r="154" spans="1:13" ht="24.9" customHeight="1" x14ac:dyDescent="0.3">
      <c r="A154" s="155">
        <v>482693</v>
      </c>
      <c r="B154" s="154" t="s">
        <v>217</v>
      </c>
      <c r="C154" s="154"/>
      <c r="D154" s="160"/>
      <c r="E154" s="160"/>
      <c r="F154" s="289">
        <f>IFERROR(IFERROR(VLOOKUP(B154,'Product Cost - Price'!$C$5:$L$205,10,FALSE),VLOOKUP(B154,'C- Raw Products Costs'!$A$3:$H$72,8,FALSE)),0)</f>
        <v>0.66285608856088551</v>
      </c>
      <c r="H154" s="162"/>
      <c r="I154" s="164">
        <f t="shared" si="7"/>
        <v>0</v>
      </c>
      <c r="J154" s="166">
        <f t="shared" si="8"/>
        <v>0</v>
      </c>
      <c r="L154" s="162"/>
      <c r="M154" s="165">
        <f t="shared" si="9"/>
        <v>0</v>
      </c>
    </row>
    <row r="155" spans="1:13" ht="24.9" customHeight="1" x14ac:dyDescent="0.3">
      <c r="A155" s="155">
        <v>484375</v>
      </c>
      <c r="B155" s="154" t="s">
        <v>78</v>
      </c>
      <c r="C155" s="154"/>
      <c r="D155" s="160"/>
      <c r="E155" s="160"/>
      <c r="F155" s="289">
        <f>IFERROR(IFERROR(VLOOKUP(B155,'Product Cost - Price'!$C$5:$L$205,10,FALSE),VLOOKUP(B155,'C- Raw Products Costs'!$A$3:$H$72,8,FALSE)),0)</f>
        <v>0.54442968749999998</v>
      </c>
      <c r="H155" s="162"/>
      <c r="I155" s="164">
        <f t="shared" si="7"/>
        <v>0</v>
      </c>
      <c r="J155" s="166">
        <f t="shared" si="8"/>
        <v>0</v>
      </c>
      <c r="L155" s="162"/>
      <c r="M155" s="165">
        <f t="shared" si="9"/>
        <v>0</v>
      </c>
    </row>
    <row r="156" spans="1:13" ht="24.9" customHeight="1" x14ac:dyDescent="0.3">
      <c r="A156" s="155">
        <v>404266</v>
      </c>
      <c r="B156" s="154" t="s">
        <v>62</v>
      </c>
      <c r="C156" s="154"/>
      <c r="D156" s="160" t="s">
        <v>775</v>
      </c>
      <c r="E156" s="160">
        <v>20</v>
      </c>
      <c r="F156" s="289">
        <f>IFERROR(IFERROR(VLOOKUP(B156,'Product Cost - Price'!$C$5:$L$205,10,FALSE),VLOOKUP(B156,'C- Raw Products Costs'!$A$3:$H$72,8,FALSE)),0)</f>
        <v>0.54442968749999998</v>
      </c>
      <c r="H156" s="162">
        <v>19</v>
      </c>
      <c r="I156" s="164">
        <f t="shared" si="7"/>
        <v>380</v>
      </c>
      <c r="J156" s="166">
        <f t="shared" si="8"/>
        <v>206.88328124999998</v>
      </c>
      <c r="L156" s="162">
        <v>1200</v>
      </c>
      <c r="M156" s="165">
        <f t="shared" si="9"/>
        <v>653.31562499999995</v>
      </c>
    </row>
    <row r="157" spans="1:13" ht="24.9" customHeight="1" x14ac:dyDescent="0.3">
      <c r="A157" s="155">
        <v>540713</v>
      </c>
      <c r="B157" s="154" t="s">
        <v>97</v>
      </c>
      <c r="C157" s="154"/>
      <c r="D157" s="160" t="s">
        <v>774</v>
      </c>
      <c r="E157" s="160">
        <v>1</v>
      </c>
      <c r="F157" s="289">
        <f>IFERROR(IFERROR(VLOOKUP(B157,'Product Cost - Price'!$C$5:$L$205,10,FALSE),VLOOKUP(B157,'C- Raw Products Costs'!$A$3:$H$72,8,FALSE)),0)</f>
        <v>0.54442968749999998</v>
      </c>
      <c r="H157" s="162">
        <v>1315</v>
      </c>
      <c r="I157" s="164">
        <f t="shared" si="7"/>
        <v>1315</v>
      </c>
      <c r="J157" s="166">
        <f t="shared" si="8"/>
        <v>715.92503906249999</v>
      </c>
      <c r="L157" s="162">
        <v>3315</v>
      </c>
      <c r="M157" s="165">
        <f t="shared" si="9"/>
        <v>1804.7844140625</v>
      </c>
    </row>
    <row r="158" spans="1:13" ht="24.9" customHeight="1" x14ac:dyDescent="0.3">
      <c r="A158" s="155">
        <v>508411</v>
      </c>
      <c r="B158" s="154" t="s">
        <v>258</v>
      </c>
      <c r="C158" s="154"/>
      <c r="D158" s="160"/>
      <c r="E158" s="160"/>
      <c r="F158" s="289">
        <f>IFERROR(IFERROR(VLOOKUP(B158,'Product Cost - Price'!$C$5:$L$205,10,FALSE),VLOOKUP(B158,'C- Raw Products Costs'!$A$3:$H$72,8,FALSE)),0)</f>
        <v>1.0395168030753967</v>
      </c>
      <c r="H158" s="162"/>
      <c r="I158" s="164">
        <f t="shared" si="7"/>
        <v>0</v>
      </c>
      <c r="J158" s="166">
        <f t="shared" si="8"/>
        <v>0</v>
      </c>
      <c r="L158" s="162"/>
      <c r="M158" s="165">
        <f t="shared" si="9"/>
        <v>0</v>
      </c>
    </row>
    <row r="159" spans="1:13" ht="24.9" customHeight="1" x14ac:dyDescent="0.3">
      <c r="A159" s="155">
        <v>484378</v>
      </c>
      <c r="B159" s="154" t="s">
        <v>223</v>
      </c>
      <c r="C159" s="154"/>
      <c r="D159" s="160"/>
      <c r="E159" s="160"/>
      <c r="F159" s="289">
        <f>IFERROR(IFERROR(VLOOKUP(B159,'Product Cost - Price'!$C$5:$L$205,10,FALSE),VLOOKUP(B159,'C- Raw Products Costs'!$A$3:$H$72,8,FALSE)),0)</f>
        <v>0.64053376205787771</v>
      </c>
      <c r="H159" s="162"/>
      <c r="I159" s="164">
        <f t="shared" si="7"/>
        <v>0</v>
      </c>
      <c r="J159" s="166">
        <f t="shared" si="8"/>
        <v>0</v>
      </c>
      <c r="L159" s="162"/>
      <c r="M159" s="165">
        <f t="shared" si="9"/>
        <v>0</v>
      </c>
    </row>
    <row r="160" spans="1:13" ht="24.9" customHeight="1" x14ac:dyDescent="0.3">
      <c r="A160" s="155">
        <v>472760</v>
      </c>
      <c r="B160" s="154" t="s">
        <v>214</v>
      </c>
      <c r="C160" s="154"/>
      <c r="D160" s="160" t="s">
        <v>775</v>
      </c>
      <c r="E160" s="160">
        <v>20</v>
      </c>
      <c r="F160" s="289">
        <f>IFERROR(IFERROR(VLOOKUP(B160,'Product Cost - Price'!$C$5:$L$205,10,FALSE),VLOOKUP(B160,'C- Raw Products Costs'!$A$3:$H$72,8,FALSE)),0)</f>
        <v>0.64053376205787771</v>
      </c>
      <c r="H160" s="162">
        <v>205</v>
      </c>
      <c r="I160" s="164">
        <f t="shared" si="7"/>
        <v>4100</v>
      </c>
      <c r="J160" s="166">
        <f t="shared" si="8"/>
        <v>2626.1884244372986</v>
      </c>
      <c r="L160" s="162">
        <v>7320</v>
      </c>
      <c r="M160" s="165">
        <f t="shared" si="9"/>
        <v>4688.707138263665</v>
      </c>
    </row>
    <row r="161" spans="1:13" ht="24.9" customHeight="1" x14ac:dyDescent="0.3">
      <c r="A161" s="155">
        <v>482692</v>
      </c>
      <c r="B161" s="154" t="s">
        <v>216</v>
      </c>
      <c r="C161" s="154"/>
      <c r="D161" s="160"/>
      <c r="E161" s="160"/>
      <c r="F161" s="289">
        <f>IFERROR(IFERROR(VLOOKUP(B161,'Product Cost - Price'!$C$5:$L$205,10,FALSE),VLOOKUP(B161,'C- Raw Products Costs'!$A$3:$H$72,8,FALSE)),0)</f>
        <v>0.64053376205787771</v>
      </c>
      <c r="H161" s="162"/>
      <c r="I161" s="164">
        <f t="shared" si="7"/>
        <v>0</v>
      </c>
      <c r="J161" s="166">
        <f t="shared" si="8"/>
        <v>0</v>
      </c>
      <c r="L161" s="162"/>
      <c r="M161" s="165">
        <f t="shared" si="9"/>
        <v>0</v>
      </c>
    </row>
    <row r="162" spans="1:13" ht="24.9" customHeight="1" x14ac:dyDescent="0.3">
      <c r="A162" s="155">
        <v>568240</v>
      </c>
      <c r="B162" s="154" t="s">
        <v>396</v>
      </c>
      <c r="C162" s="154"/>
      <c r="D162" s="160" t="s">
        <v>775</v>
      </c>
      <c r="E162" s="160">
        <v>20</v>
      </c>
      <c r="F162" s="289">
        <f>IFERROR(IFERROR(VLOOKUP(B162,'Product Cost - Price'!$C$5:$L$205,10,FALSE),VLOOKUP(B162,'C- Raw Products Costs'!$A$3:$H$72,8,FALSE)),0)</f>
        <v>0.60299999999999998</v>
      </c>
      <c r="H162" s="162">
        <v>25</v>
      </c>
      <c r="I162" s="164">
        <f t="shared" si="7"/>
        <v>500</v>
      </c>
      <c r="J162" s="166">
        <f t="shared" si="8"/>
        <v>301.5</v>
      </c>
      <c r="L162" s="162">
        <v>1020</v>
      </c>
      <c r="M162" s="165">
        <f t="shared" si="9"/>
        <v>615.05999999999995</v>
      </c>
    </row>
    <row r="163" spans="1:13" ht="24.9" customHeight="1" x14ac:dyDescent="0.3">
      <c r="A163" s="155">
        <v>577243</v>
      </c>
      <c r="B163" s="154" t="s">
        <v>119</v>
      </c>
      <c r="C163" s="154"/>
      <c r="D163" s="160"/>
      <c r="E163" s="160"/>
      <c r="F163" s="289">
        <f>IFERROR(IFERROR(VLOOKUP(B163,'Product Cost - Price'!$C$5:$L$205,10,FALSE),VLOOKUP(B163,'C- Raw Products Costs'!$A$3:$H$72,8,FALSE)),0)</f>
        <v>0.60299999999999998</v>
      </c>
      <c r="H163" s="162"/>
      <c r="I163" s="164">
        <f t="shared" si="7"/>
        <v>0</v>
      </c>
      <c r="J163" s="166">
        <f t="shared" si="8"/>
        <v>0</v>
      </c>
      <c r="L163" s="162"/>
      <c r="M163" s="165">
        <f t="shared" si="9"/>
        <v>0</v>
      </c>
    </row>
    <row r="164" spans="1:13" ht="24.9" customHeight="1" x14ac:dyDescent="0.3">
      <c r="A164" s="155">
        <v>568241</v>
      </c>
      <c r="B164" s="154" t="s">
        <v>397</v>
      </c>
      <c r="C164" s="154"/>
      <c r="D164" s="160" t="s">
        <v>775</v>
      </c>
      <c r="E164" s="160">
        <v>20</v>
      </c>
      <c r="F164" s="289">
        <f>IFERROR(IFERROR(VLOOKUP(B164,'Product Cost - Price'!$C$5:$L$205,10,FALSE),VLOOKUP(B164,'C- Raw Products Costs'!$A$3:$H$72,8,FALSE)),0)</f>
        <v>0.86299999999999999</v>
      </c>
      <c r="H164" s="162">
        <v>33</v>
      </c>
      <c r="I164" s="164">
        <f t="shared" si="7"/>
        <v>660</v>
      </c>
      <c r="J164" s="166">
        <f t="shared" si="8"/>
        <v>569.58000000000004</v>
      </c>
      <c r="L164" s="162">
        <v>1280</v>
      </c>
      <c r="M164" s="165">
        <f t="shared" si="9"/>
        <v>1104.6399999999999</v>
      </c>
    </row>
    <row r="165" spans="1:13" ht="24.9" customHeight="1" x14ac:dyDescent="0.3">
      <c r="A165" s="155"/>
      <c r="B165" s="154" t="s">
        <v>540</v>
      </c>
      <c r="C165" s="154"/>
      <c r="D165" s="160" t="s">
        <v>774</v>
      </c>
      <c r="E165" s="160">
        <v>1</v>
      </c>
      <c r="F165" s="289">
        <f>IFERROR(IFERROR(VLOOKUP(B165,'Product Cost - Price'!$C$5:$L$205,10,FALSE),VLOOKUP(B165,'C- Raw Products Costs'!$A$3:$H$72,8,FALSE)),0)</f>
        <v>0.60299999999999998</v>
      </c>
      <c r="H165" s="162">
        <v>9000</v>
      </c>
      <c r="I165" s="164">
        <f t="shared" si="7"/>
        <v>9000</v>
      </c>
      <c r="J165" s="166">
        <f t="shared" si="8"/>
        <v>5427</v>
      </c>
      <c r="L165" s="162"/>
      <c r="M165" s="165">
        <f t="shared" si="9"/>
        <v>0</v>
      </c>
    </row>
    <row r="166" spans="1:13" ht="24.9" customHeight="1" x14ac:dyDescent="0.3">
      <c r="A166" s="155"/>
      <c r="B166" s="154" t="s">
        <v>608</v>
      </c>
      <c r="C166" s="154"/>
      <c r="D166" s="160" t="s">
        <v>774</v>
      </c>
      <c r="E166" s="160">
        <v>1</v>
      </c>
      <c r="F166" s="289">
        <f>IFERROR(IFERROR(VLOOKUP(B166,'Product Cost - Price'!$C$5:$L$205,10,FALSE),VLOOKUP(B166,'C- Raw Products Costs'!$A$3:$H$72,8,FALSE)),0)</f>
        <v>1.0920000000000001</v>
      </c>
      <c r="H166" s="162">
        <v>4500</v>
      </c>
      <c r="I166" s="164">
        <f t="shared" si="7"/>
        <v>4500</v>
      </c>
      <c r="J166" s="166">
        <f t="shared" si="8"/>
        <v>4914</v>
      </c>
      <c r="L166" s="162"/>
      <c r="M166" s="165">
        <f t="shared" si="9"/>
        <v>0</v>
      </c>
    </row>
    <row r="167" spans="1:13" ht="24.9" customHeight="1" x14ac:dyDescent="0.3">
      <c r="A167" s="155"/>
      <c r="B167" s="154" t="s">
        <v>609</v>
      </c>
      <c r="C167" s="154"/>
      <c r="D167" s="160" t="s">
        <v>774</v>
      </c>
      <c r="E167" s="160">
        <v>1</v>
      </c>
      <c r="F167" s="289">
        <f>IFERROR(IFERROR(VLOOKUP(B167,'Product Cost - Price'!$C$5:$L$205,10,FALSE),VLOOKUP(B167,'C- Raw Products Costs'!$A$3:$H$72,8,FALSE)),0)</f>
        <v>0.86</v>
      </c>
      <c r="H167" s="162">
        <v>4183</v>
      </c>
      <c r="I167" s="164">
        <f t="shared" si="7"/>
        <v>4183</v>
      </c>
      <c r="J167" s="166">
        <f t="shared" si="8"/>
        <v>3597.38</v>
      </c>
      <c r="L167" s="162"/>
      <c r="M167" s="165">
        <f t="shared" si="9"/>
        <v>0</v>
      </c>
    </row>
    <row r="168" spans="1:13" ht="24.9" customHeight="1" x14ac:dyDescent="0.3">
      <c r="A168" s="155"/>
      <c r="B168" s="154" t="s">
        <v>541</v>
      </c>
      <c r="C168" s="154"/>
      <c r="D168" s="160" t="s">
        <v>774</v>
      </c>
      <c r="E168" s="160">
        <v>1</v>
      </c>
      <c r="F168" s="289">
        <f>IFERROR(IFERROR(VLOOKUP(B168,'Product Cost - Price'!$C$5:$L$205,10,FALSE),VLOOKUP(B168,'C- Raw Products Costs'!$A$3:$H$72,8,FALSE)),0)</f>
        <v>0.86299999999999999</v>
      </c>
      <c r="H168" s="162">
        <v>865</v>
      </c>
      <c r="I168" s="164">
        <f t="shared" si="7"/>
        <v>865</v>
      </c>
      <c r="J168" s="166">
        <f t="shared" si="8"/>
        <v>746.495</v>
      </c>
      <c r="L168" s="162">
        <v>860</v>
      </c>
      <c r="M168" s="165">
        <f t="shared" si="9"/>
        <v>742.18</v>
      </c>
    </row>
    <row r="169" spans="1:13" ht="24.9" customHeight="1" x14ac:dyDescent="0.3">
      <c r="A169" s="155">
        <v>540725</v>
      </c>
      <c r="B169" s="154" t="s">
        <v>271</v>
      </c>
      <c r="C169" s="154"/>
      <c r="D169" s="160" t="s">
        <v>775</v>
      </c>
      <c r="E169" s="160">
        <v>20</v>
      </c>
      <c r="F169" s="289">
        <f>IFERROR(IFERROR(VLOOKUP(B169,'Product Cost - Price'!$C$5:$L$205,10,FALSE),VLOOKUP(B169,'C- Raw Products Costs'!$A$3:$H$72,8,FALSE)),0)</f>
        <v>0.4336659722222222</v>
      </c>
      <c r="H169" s="162">
        <v>188</v>
      </c>
      <c r="I169" s="164">
        <f t="shared" si="7"/>
        <v>3760</v>
      </c>
      <c r="J169" s="166">
        <f t="shared" si="8"/>
        <v>1630.5840555555556</v>
      </c>
      <c r="L169" s="162">
        <v>1820</v>
      </c>
      <c r="M169" s="165">
        <f t="shared" si="9"/>
        <v>789.27206944444436</v>
      </c>
    </row>
    <row r="170" spans="1:13" ht="24.9" customHeight="1" x14ac:dyDescent="0.3">
      <c r="A170" s="155"/>
      <c r="B170" s="154" t="s">
        <v>610</v>
      </c>
      <c r="C170" s="154"/>
      <c r="D170" s="160" t="s">
        <v>774</v>
      </c>
      <c r="E170" s="160">
        <v>1</v>
      </c>
      <c r="F170" s="289">
        <f>IFERROR(IFERROR(VLOOKUP(B170,'Product Cost - Price'!$C$5:$L$205,10,FALSE),VLOOKUP(B170,'C- Raw Products Costs'!$A$3:$H$72,8,FALSE)),0)</f>
        <v>1.1890000000000001</v>
      </c>
      <c r="H170" s="162">
        <v>1500</v>
      </c>
      <c r="I170" s="164">
        <f t="shared" si="7"/>
        <v>1500</v>
      </c>
      <c r="J170" s="166">
        <f t="shared" si="8"/>
        <v>1783.5</v>
      </c>
      <c r="L170" s="162"/>
      <c r="M170" s="165">
        <f t="shared" si="9"/>
        <v>0</v>
      </c>
    </row>
    <row r="171" spans="1:13" ht="24.9" customHeight="1" x14ac:dyDescent="0.3">
      <c r="A171" s="155"/>
      <c r="B171" s="154" t="s">
        <v>611</v>
      </c>
      <c r="C171" s="154"/>
      <c r="D171" s="160" t="s">
        <v>774</v>
      </c>
      <c r="E171" s="160">
        <v>1</v>
      </c>
      <c r="F171" s="289">
        <f>IFERROR(IFERROR(VLOOKUP(B171,'Product Cost - Price'!$C$5:$L$205,10,FALSE),VLOOKUP(B171,'C- Raw Products Costs'!$A$3:$H$72,8,FALSE)),0)</f>
        <v>1.645</v>
      </c>
      <c r="H171" s="162">
        <v>1520</v>
      </c>
      <c r="I171" s="164">
        <f t="shared" si="7"/>
        <v>1520</v>
      </c>
      <c r="J171" s="166">
        <f t="shared" si="8"/>
        <v>2500.4</v>
      </c>
      <c r="L171" s="162">
        <v>400</v>
      </c>
      <c r="M171" s="165">
        <f t="shared" si="9"/>
        <v>658</v>
      </c>
    </row>
    <row r="172" spans="1:13" ht="24.9" customHeight="1" x14ac:dyDescent="0.3">
      <c r="A172" s="155">
        <v>380864</v>
      </c>
      <c r="B172" s="154" t="s">
        <v>139</v>
      </c>
      <c r="C172" s="154"/>
      <c r="D172" s="160" t="s">
        <v>777</v>
      </c>
      <c r="E172" s="160">
        <v>1</v>
      </c>
      <c r="F172" s="289">
        <f>IFERROR(IFERROR(VLOOKUP(B172,'Product Cost - Price'!$C$5:$L$205,10,FALSE),VLOOKUP(B172,'C- Raw Products Costs'!$A$3:$H$72,8,FALSE)),0)</f>
        <v>19</v>
      </c>
      <c r="H172" s="162">
        <v>206</v>
      </c>
      <c r="I172" s="164">
        <f t="shared" si="7"/>
        <v>206</v>
      </c>
      <c r="J172" s="166">
        <f t="shared" si="8"/>
        <v>3914</v>
      </c>
      <c r="L172" s="162">
        <v>105</v>
      </c>
      <c r="M172" s="165">
        <f t="shared" si="9"/>
        <v>1995</v>
      </c>
    </row>
    <row r="173" spans="1:13" ht="24.9" customHeight="1" x14ac:dyDescent="0.3">
      <c r="A173" s="155">
        <v>517311</v>
      </c>
      <c r="B173" s="154" t="s">
        <v>265</v>
      </c>
      <c r="C173" s="154"/>
      <c r="D173" s="160"/>
      <c r="E173" s="160"/>
      <c r="F173" s="289">
        <f>IFERROR(IFERROR(VLOOKUP(B173,'Product Cost - Price'!$C$5:$L$205,10,FALSE),VLOOKUP(B173,'C- Raw Products Costs'!$A$3:$H$72,8,FALSE)),0)</f>
        <v>1.3954077669902913</v>
      </c>
      <c r="H173" s="162"/>
      <c r="I173" s="164">
        <f t="shared" si="7"/>
        <v>0</v>
      </c>
      <c r="J173" s="166">
        <f t="shared" si="8"/>
        <v>0</v>
      </c>
      <c r="L173" s="162"/>
      <c r="M173" s="165">
        <f t="shared" si="9"/>
        <v>0</v>
      </c>
    </row>
    <row r="174" spans="1:13" ht="24.9" customHeight="1" x14ac:dyDescent="0.3">
      <c r="A174" s="155">
        <v>517312</v>
      </c>
      <c r="B174" s="154" t="s">
        <v>266</v>
      </c>
      <c r="C174" s="154"/>
      <c r="D174" s="160"/>
      <c r="E174" s="160"/>
      <c r="F174" s="289">
        <f>IFERROR(IFERROR(VLOOKUP(B174,'Product Cost - Price'!$C$5:$L$205,10,FALSE),VLOOKUP(B174,'C- Raw Products Costs'!$A$3:$H$72,8,FALSE)),0)</f>
        <v>0.83809090909090911</v>
      </c>
      <c r="H174" s="162"/>
      <c r="I174" s="164">
        <f t="shared" si="7"/>
        <v>0</v>
      </c>
      <c r="J174" s="166">
        <f t="shared" si="8"/>
        <v>0</v>
      </c>
      <c r="L174" s="162"/>
      <c r="M174" s="165">
        <f t="shared" si="9"/>
        <v>0</v>
      </c>
    </row>
    <row r="175" spans="1:13" ht="24.9" customHeight="1" x14ac:dyDescent="0.3">
      <c r="A175" s="155"/>
      <c r="B175" s="154" t="s">
        <v>612</v>
      </c>
      <c r="C175" s="154"/>
      <c r="D175" s="160" t="s">
        <v>774</v>
      </c>
      <c r="E175" s="160">
        <v>1</v>
      </c>
      <c r="F175" s="289">
        <f>IFERROR(IFERROR(VLOOKUP(B175,'Product Cost - Price'!$C$5:$L$205,10,FALSE),VLOOKUP(B175,'C- Raw Products Costs'!$A$3:$H$72,8,FALSE)),0)</f>
        <v>11.944444444444445</v>
      </c>
      <c r="H175" s="162">
        <v>10</v>
      </c>
      <c r="I175" s="164">
        <f t="shared" si="7"/>
        <v>10</v>
      </c>
      <c r="J175" s="166">
        <f t="shared" si="8"/>
        <v>119.44444444444444</v>
      </c>
      <c r="L175" s="162">
        <v>20</v>
      </c>
      <c r="M175" s="165">
        <f t="shared" si="9"/>
        <v>238.88888888888889</v>
      </c>
    </row>
    <row r="176" spans="1:13" ht="24.9" customHeight="1" x14ac:dyDescent="0.3">
      <c r="A176" s="155">
        <v>564085</v>
      </c>
      <c r="B176" s="154" t="s">
        <v>362</v>
      </c>
      <c r="C176" s="154"/>
      <c r="D176" s="160" t="s">
        <v>775</v>
      </c>
      <c r="E176" s="160">
        <v>20</v>
      </c>
      <c r="F176" s="289">
        <f>IFERROR(IFERROR(VLOOKUP(B176,'Product Cost - Price'!$C$5:$L$205,10,FALSE),VLOOKUP(B176,'C- Raw Products Costs'!$A$3:$H$72,8,FALSE)),0)</f>
        <v>1.1002099999999999</v>
      </c>
      <c r="H176" s="162"/>
      <c r="I176" s="164">
        <f t="shared" si="7"/>
        <v>0</v>
      </c>
      <c r="J176" s="166">
        <f t="shared" si="8"/>
        <v>0</v>
      </c>
      <c r="L176" s="162">
        <v>400</v>
      </c>
      <c r="M176" s="165">
        <f t="shared" si="9"/>
        <v>440.08399999999995</v>
      </c>
    </row>
    <row r="177" spans="1:13" ht="24.9" customHeight="1" x14ac:dyDescent="0.3">
      <c r="A177" s="155">
        <v>564086</v>
      </c>
      <c r="B177" s="154" t="s">
        <v>117</v>
      </c>
      <c r="C177" s="154"/>
      <c r="D177" s="160" t="s">
        <v>774</v>
      </c>
      <c r="E177" s="160">
        <v>1</v>
      </c>
      <c r="F177" s="289">
        <f>IFERROR(IFERROR(VLOOKUP(B177,'Product Cost - Price'!$C$5:$L$205,10,FALSE),VLOOKUP(B177,'C- Raw Products Costs'!$A$3:$H$72,8,FALSE)),0)</f>
        <v>1.1002099999999999</v>
      </c>
      <c r="H177" s="162">
        <v>825</v>
      </c>
      <c r="I177" s="164">
        <f t="shared" si="7"/>
        <v>825</v>
      </c>
      <c r="J177" s="166">
        <f t="shared" si="8"/>
        <v>907.67324999999994</v>
      </c>
      <c r="L177" s="162">
        <v>1610</v>
      </c>
      <c r="M177" s="165">
        <f t="shared" si="9"/>
        <v>1771.3380999999999</v>
      </c>
    </row>
    <row r="178" spans="1:13" ht="24.9" customHeight="1" x14ac:dyDescent="0.3">
      <c r="A178" s="155">
        <v>564054</v>
      </c>
      <c r="B178" s="154" t="s">
        <v>333</v>
      </c>
      <c r="C178" s="154"/>
      <c r="D178" s="160"/>
      <c r="E178" s="160"/>
      <c r="F178" s="289">
        <f>IFERROR(IFERROR(VLOOKUP(B178,'Product Cost - Price'!$C$5:$L$205,10,FALSE),VLOOKUP(B178,'C- Raw Products Costs'!$A$3:$H$72,8,FALSE)),0)</f>
        <v>1.427597</v>
      </c>
      <c r="H178" s="162"/>
      <c r="I178" s="164">
        <f t="shared" si="7"/>
        <v>0</v>
      </c>
      <c r="J178" s="166">
        <f t="shared" si="8"/>
        <v>0</v>
      </c>
      <c r="L178" s="162"/>
      <c r="M178" s="165">
        <f t="shared" si="9"/>
        <v>0</v>
      </c>
    </row>
    <row r="179" spans="1:13" ht="24.9" customHeight="1" x14ac:dyDescent="0.3">
      <c r="A179" s="155">
        <v>564055</v>
      </c>
      <c r="B179" s="154" t="s">
        <v>334</v>
      </c>
      <c r="C179" s="154"/>
      <c r="D179" s="160"/>
      <c r="E179" s="160"/>
      <c r="F179" s="289">
        <f>IFERROR(IFERROR(VLOOKUP(B179,'Product Cost - Price'!$C$5:$L$205,10,FALSE),VLOOKUP(B179,'C- Raw Products Costs'!$A$3:$H$72,8,FALSE)),0)</f>
        <v>1.427597</v>
      </c>
      <c r="H179" s="162"/>
      <c r="I179" s="164">
        <f t="shared" si="7"/>
        <v>0</v>
      </c>
      <c r="J179" s="166">
        <f t="shared" si="8"/>
        <v>0</v>
      </c>
      <c r="L179" s="162"/>
      <c r="M179" s="165">
        <f t="shared" si="9"/>
        <v>0</v>
      </c>
    </row>
    <row r="180" spans="1:13" ht="24.9" customHeight="1" x14ac:dyDescent="0.3">
      <c r="A180" s="155">
        <v>564050</v>
      </c>
      <c r="B180" s="154" t="s">
        <v>329</v>
      </c>
      <c r="C180" s="154"/>
      <c r="D180" s="160" t="s">
        <v>775</v>
      </c>
      <c r="E180" s="160">
        <v>20</v>
      </c>
      <c r="F180" s="289">
        <f>IFERROR(IFERROR(VLOOKUP(B180,'Product Cost - Price'!$C$5:$L$205,10,FALSE),VLOOKUP(B180,'C- Raw Products Costs'!$A$3:$H$72,8,FALSE)),0)</f>
        <v>0.90363681592039813</v>
      </c>
      <c r="H180" s="162"/>
      <c r="I180" s="164">
        <f t="shared" si="7"/>
        <v>0</v>
      </c>
      <c r="J180" s="166">
        <f t="shared" si="8"/>
        <v>0</v>
      </c>
      <c r="L180" s="162">
        <v>600</v>
      </c>
      <c r="M180" s="165">
        <f t="shared" si="9"/>
        <v>542.18208955223884</v>
      </c>
    </row>
    <row r="181" spans="1:13" ht="24.9" customHeight="1" x14ac:dyDescent="0.3">
      <c r="A181" s="155">
        <v>564051</v>
      </c>
      <c r="B181" s="154" t="s">
        <v>330</v>
      </c>
      <c r="C181" s="154"/>
      <c r="D181" s="160" t="s">
        <v>774</v>
      </c>
      <c r="E181" s="160">
        <v>1</v>
      </c>
      <c r="F181" s="289">
        <f>IFERROR(IFERROR(VLOOKUP(B181,'Product Cost - Price'!$C$5:$L$205,10,FALSE),VLOOKUP(B181,'C- Raw Products Costs'!$A$3:$H$72,8,FALSE)),0)</f>
        <v>0.90363681592039813</v>
      </c>
      <c r="H181" s="162"/>
      <c r="I181" s="164">
        <f t="shared" si="7"/>
        <v>0</v>
      </c>
      <c r="J181" s="166">
        <f t="shared" si="8"/>
        <v>0</v>
      </c>
      <c r="L181" s="162">
        <v>1607</v>
      </c>
      <c r="M181" s="165">
        <f t="shared" si="9"/>
        <v>1452.1443631840798</v>
      </c>
    </row>
    <row r="182" spans="1:13" ht="24.9" customHeight="1" x14ac:dyDescent="0.3">
      <c r="A182" s="155">
        <v>541285</v>
      </c>
      <c r="B182" s="154" t="s">
        <v>290</v>
      </c>
      <c r="C182" s="154"/>
      <c r="D182" s="160"/>
      <c r="E182" s="160"/>
      <c r="F182" s="289">
        <f>IFERROR(IFERROR(VLOOKUP(B182,'Product Cost - Price'!$C$5:$L$205,10,FALSE),VLOOKUP(B182,'C- Raw Products Costs'!$A$3:$H$72,8,FALSE)),0)</f>
        <v>1.0530638297872341</v>
      </c>
      <c r="H182" s="162"/>
      <c r="I182" s="164">
        <f t="shared" si="7"/>
        <v>0</v>
      </c>
      <c r="J182" s="166">
        <f t="shared" si="8"/>
        <v>0</v>
      </c>
      <c r="L182" s="162"/>
      <c r="M182" s="165">
        <f t="shared" si="9"/>
        <v>0</v>
      </c>
    </row>
    <row r="183" spans="1:13" ht="24.9" customHeight="1" x14ac:dyDescent="0.3">
      <c r="A183" s="155">
        <v>541286</v>
      </c>
      <c r="B183" s="154" t="s">
        <v>291</v>
      </c>
      <c r="C183" s="154"/>
      <c r="D183" s="160"/>
      <c r="E183" s="160"/>
      <c r="F183" s="289">
        <f>IFERROR(IFERROR(VLOOKUP(B183,'Product Cost - Price'!$C$5:$L$205,10,FALSE),VLOOKUP(B183,'C- Raw Products Costs'!$A$3:$H$72,8,FALSE)),0)</f>
        <v>1.3055555555555556</v>
      </c>
      <c r="H183" s="162"/>
      <c r="I183" s="164">
        <f t="shared" si="7"/>
        <v>0</v>
      </c>
      <c r="J183" s="166">
        <f t="shared" si="8"/>
        <v>0</v>
      </c>
      <c r="L183" s="162"/>
      <c r="M183" s="165">
        <f t="shared" si="9"/>
        <v>0</v>
      </c>
    </row>
    <row r="184" spans="1:13" ht="24.9" customHeight="1" x14ac:dyDescent="0.3">
      <c r="A184" s="155">
        <v>541155</v>
      </c>
      <c r="B184" s="154" t="s">
        <v>283</v>
      </c>
      <c r="C184" s="154"/>
      <c r="D184" s="160" t="s">
        <v>775</v>
      </c>
      <c r="E184" s="160">
        <v>20</v>
      </c>
      <c r="F184" s="289">
        <f>IFERROR(IFERROR(VLOOKUP(B184,'Product Cost - Price'!$C$5:$L$205,10,FALSE),VLOOKUP(B184,'C- Raw Products Costs'!$A$3:$H$72,8,FALSE)),0)</f>
        <v>0.47301805555555559</v>
      </c>
      <c r="H184" s="162">
        <v>120</v>
      </c>
      <c r="I184" s="164">
        <f t="shared" si="7"/>
        <v>2400</v>
      </c>
      <c r="J184" s="166">
        <f t="shared" si="8"/>
        <v>1135.2433333333333</v>
      </c>
      <c r="L184" s="162"/>
      <c r="M184" s="165">
        <f t="shared" si="9"/>
        <v>0</v>
      </c>
    </row>
    <row r="185" spans="1:13" ht="24.9" customHeight="1" x14ac:dyDescent="0.3">
      <c r="A185" s="155">
        <v>564095</v>
      </c>
      <c r="B185" s="154" t="s">
        <v>371</v>
      </c>
      <c r="C185" s="154"/>
      <c r="D185" s="160"/>
      <c r="E185" s="160"/>
      <c r="F185" s="289">
        <f>IFERROR(IFERROR(VLOOKUP(B185,'Product Cost - Price'!$C$5:$L$205,10,FALSE),VLOOKUP(B185,'C- Raw Products Costs'!$A$3:$H$72,8,FALSE)),0)</f>
        <v>1.427597</v>
      </c>
      <c r="H185" s="162"/>
      <c r="I185" s="164">
        <f t="shared" si="7"/>
        <v>0</v>
      </c>
      <c r="J185" s="166">
        <f t="shared" si="8"/>
        <v>0</v>
      </c>
      <c r="L185" s="162"/>
      <c r="M185" s="165">
        <f t="shared" si="9"/>
        <v>0</v>
      </c>
    </row>
    <row r="186" spans="1:13" ht="24.9" customHeight="1" x14ac:dyDescent="0.3">
      <c r="A186" s="155">
        <v>564096</v>
      </c>
      <c r="B186" s="154" t="s">
        <v>372</v>
      </c>
      <c r="C186" s="154"/>
      <c r="D186" s="160"/>
      <c r="E186" s="160"/>
      <c r="F186" s="289">
        <f>IFERROR(IFERROR(VLOOKUP(B186,'Product Cost - Price'!$C$5:$L$205,10,FALSE),VLOOKUP(B186,'C- Raw Products Costs'!$A$3:$H$72,8,FALSE)),0)</f>
        <v>1.427597</v>
      </c>
      <c r="H186" s="162"/>
      <c r="I186" s="164">
        <f t="shared" si="7"/>
        <v>0</v>
      </c>
      <c r="J186" s="166">
        <f t="shared" si="8"/>
        <v>0</v>
      </c>
      <c r="L186" s="162"/>
      <c r="M186" s="165">
        <f t="shared" si="9"/>
        <v>0</v>
      </c>
    </row>
    <row r="187" spans="1:13" ht="24.9" customHeight="1" x14ac:dyDescent="0.3">
      <c r="A187" s="155">
        <v>564089</v>
      </c>
      <c r="B187" s="154" t="s">
        <v>365</v>
      </c>
      <c r="C187" s="154"/>
      <c r="D187" s="160"/>
      <c r="E187" s="160"/>
      <c r="F187" s="289">
        <f>IFERROR(IFERROR(VLOOKUP(B187,'Product Cost - Price'!$C$5:$L$205,10,FALSE),VLOOKUP(B187,'C- Raw Products Costs'!$A$3:$H$72,8,FALSE)),0)</f>
        <v>0.90363681592039813</v>
      </c>
      <c r="H187" s="162"/>
      <c r="I187" s="164">
        <f t="shared" si="7"/>
        <v>0</v>
      </c>
      <c r="J187" s="166">
        <f t="shared" si="8"/>
        <v>0</v>
      </c>
      <c r="L187" s="162"/>
      <c r="M187" s="165">
        <f t="shared" si="9"/>
        <v>0</v>
      </c>
    </row>
    <row r="188" spans="1:13" ht="24.9" customHeight="1" x14ac:dyDescent="0.3">
      <c r="A188" s="155">
        <v>564090</v>
      </c>
      <c r="B188" s="154" t="s">
        <v>366</v>
      </c>
      <c r="C188" s="154"/>
      <c r="D188" s="160"/>
      <c r="E188" s="160"/>
      <c r="F188" s="289">
        <f>IFERROR(IFERROR(VLOOKUP(B188,'Product Cost - Price'!$C$5:$L$205,10,FALSE),VLOOKUP(B188,'C- Raw Products Costs'!$A$3:$H$72,8,FALSE)),0)</f>
        <v>0.90363681592039813</v>
      </c>
      <c r="H188" s="162"/>
      <c r="I188" s="164">
        <f t="shared" si="7"/>
        <v>0</v>
      </c>
      <c r="J188" s="166">
        <f t="shared" si="8"/>
        <v>0</v>
      </c>
      <c r="L188" s="162"/>
      <c r="M188" s="165">
        <f t="shared" si="9"/>
        <v>0</v>
      </c>
    </row>
    <row r="189" spans="1:13" ht="24.9" customHeight="1" x14ac:dyDescent="0.3">
      <c r="A189" s="155">
        <v>564093</v>
      </c>
      <c r="B189" s="154" t="s">
        <v>369</v>
      </c>
      <c r="C189" s="154"/>
      <c r="D189" s="160" t="s">
        <v>775</v>
      </c>
      <c r="E189" s="160">
        <v>20</v>
      </c>
      <c r="F189" s="289">
        <f>IFERROR(IFERROR(VLOOKUP(B189,'Product Cost - Price'!$C$5:$L$205,10,FALSE),VLOOKUP(B189,'C- Raw Products Costs'!$A$3:$H$72,8,FALSE)),0)</f>
        <v>0.88812410501193328</v>
      </c>
      <c r="H189" s="162"/>
      <c r="I189" s="164">
        <f t="shared" si="7"/>
        <v>0</v>
      </c>
      <c r="J189" s="166">
        <f t="shared" si="8"/>
        <v>0</v>
      </c>
      <c r="L189" s="162">
        <v>280</v>
      </c>
      <c r="M189" s="165">
        <f t="shared" si="9"/>
        <v>248.67474940334131</v>
      </c>
    </row>
    <row r="190" spans="1:13" ht="24.9" customHeight="1" x14ac:dyDescent="0.3">
      <c r="A190" s="155">
        <v>564094</v>
      </c>
      <c r="B190" s="154" t="s">
        <v>370</v>
      </c>
      <c r="C190" s="154"/>
      <c r="D190" s="160" t="s">
        <v>774</v>
      </c>
      <c r="E190" s="160">
        <v>1</v>
      </c>
      <c r="F190" s="289">
        <f>IFERROR(IFERROR(VLOOKUP(B190,'Product Cost - Price'!$C$5:$L$205,10,FALSE),VLOOKUP(B190,'C- Raw Products Costs'!$A$3:$H$72,8,FALSE)),0)</f>
        <v>0.88812410501193328</v>
      </c>
      <c r="H190" s="162"/>
      <c r="I190" s="164">
        <f t="shared" si="7"/>
        <v>0</v>
      </c>
      <c r="J190" s="166">
        <f t="shared" si="8"/>
        <v>0</v>
      </c>
      <c r="L190" s="162">
        <v>1200</v>
      </c>
      <c r="M190" s="165">
        <f t="shared" si="9"/>
        <v>1065.74892601432</v>
      </c>
    </row>
    <row r="191" spans="1:13" ht="24.9" customHeight="1" x14ac:dyDescent="0.3">
      <c r="A191" s="155">
        <v>564091</v>
      </c>
      <c r="B191" s="154" t="s">
        <v>367</v>
      </c>
      <c r="C191" s="154"/>
      <c r="D191" s="160"/>
      <c r="E191" s="160"/>
      <c r="F191" s="289">
        <f>IFERROR(IFERROR(VLOOKUP(B191,'Product Cost - Price'!$C$5:$L$205,10,FALSE),VLOOKUP(B191,'C- Raw Products Costs'!$A$3:$H$72,8,FALSE)),0)</f>
        <v>0.91082914572864315</v>
      </c>
      <c r="H191" s="162"/>
      <c r="I191" s="164">
        <f t="shared" si="7"/>
        <v>0</v>
      </c>
      <c r="J191" s="166">
        <f t="shared" si="8"/>
        <v>0</v>
      </c>
      <c r="L191" s="162"/>
      <c r="M191" s="165">
        <f t="shared" si="9"/>
        <v>0</v>
      </c>
    </row>
    <row r="192" spans="1:13" ht="24.9" customHeight="1" x14ac:dyDescent="0.3">
      <c r="A192" s="155">
        <v>564092</v>
      </c>
      <c r="B192" s="154" t="s">
        <v>368</v>
      </c>
      <c r="C192" s="154"/>
      <c r="D192" s="160" t="s">
        <v>774</v>
      </c>
      <c r="E192" s="160">
        <v>1</v>
      </c>
      <c r="F192" s="289">
        <f>IFERROR(IFERROR(VLOOKUP(B192,'Product Cost - Price'!$C$5:$L$205,10,FALSE),VLOOKUP(B192,'C- Raw Products Costs'!$A$3:$H$72,8,FALSE)),0)</f>
        <v>0.91082914572864315</v>
      </c>
      <c r="H192" s="162"/>
      <c r="I192" s="164">
        <f t="shared" si="7"/>
        <v>0</v>
      </c>
      <c r="J192" s="166">
        <f t="shared" si="8"/>
        <v>0</v>
      </c>
      <c r="L192" s="162">
        <v>802</v>
      </c>
      <c r="M192" s="165">
        <f t="shared" si="9"/>
        <v>730.4849748743718</v>
      </c>
    </row>
    <row r="193" spans="1:13" ht="24.9" customHeight="1" x14ac:dyDescent="0.3">
      <c r="A193" s="155">
        <v>563525</v>
      </c>
      <c r="B193" s="154" t="s">
        <v>326</v>
      </c>
      <c r="C193" s="154"/>
      <c r="D193" s="160"/>
      <c r="E193" s="160"/>
      <c r="F193" s="289">
        <f>IFERROR(IFERROR(VLOOKUP(B193,'Product Cost - Price'!$C$5:$L$205,10,FALSE),VLOOKUP(B193,'C- Raw Products Costs'!$A$3:$H$72,8,FALSE)),0)</f>
        <v>0.92927749999999998</v>
      </c>
      <c r="H193" s="162"/>
      <c r="I193" s="164">
        <f t="shared" si="7"/>
        <v>0</v>
      </c>
      <c r="J193" s="166">
        <f t="shared" si="8"/>
        <v>0</v>
      </c>
      <c r="L193" s="162"/>
      <c r="M193" s="165">
        <f t="shared" si="9"/>
        <v>0</v>
      </c>
    </row>
    <row r="194" spans="1:13" ht="24.9" customHeight="1" x14ac:dyDescent="0.3">
      <c r="A194" s="155">
        <v>565309</v>
      </c>
      <c r="B194" s="154" t="s">
        <v>382</v>
      </c>
      <c r="C194" s="154"/>
      <c r="D194" s="160"/>
      <c r="E194" s="160"/>
      <c r="F194" s="289">
        <f>IFERROR(IFERROR(VLOOKUP(B194,'Product Cost - Price'!$C$5:$L$205,10,FALSE),VLOOKUP(B194,'C- Raw Products Costs'!$A$3:$H$72,8,FALSE)),0)</f>
        <v>0.80316517412935318</v>
      </c>
      <c r="H194" s="162"/>
      <c r="I194" s="164">
        <f t="shared" si="7"/>
        <v>0</v>
      </c>
      <c r="J194" s="166">
        <f t="shared" si="8"/>
        <v>0</v>
      </c>
      <c r="L194" s="162"/>
      <c r="M194" s="165">
        <f t="shared" si="9"/>
        <v>0</v>
      </c>
    </row>
    <row r="195" spans="1:13" ht="24.9" customHeight="1" x14ac:dyDescent="0.3">
      <c r="A195" s="155">
        <v>565308</v>
      </c>
      <c r="B195" s="154" t="s">
        <v>381</v>
      </c>
      <c r="C195" s="154"/>
      <c r="D195" s="160" t="s">
        <v>774</v>
      </c>
      <c r="E195" s="160">
        <v>1</v>
      </c>
      <c r="F195" s="289">
        <f>IFERROR(IFERROR(VLOOKUP(B195,'Product Cost - Price'!$C$5:$L$205,10,FALSE),VLOOKUP(B195,'C- Raw Products Costs'!$A$3:$H$72,8,FALSE)),0)</f>
        <v>0.80316517412935318</v>
      </c>
      <c r="H195" s="162">
        <v>400</v>
      </c>
      <c r="I195" s="164">
        <f t="shared" ref="I195:I258" si="10">E195*H195</f>
        <v>400</v>
      </c>
      <c r="J195" s="166">
        <f t="shared" ref="J195:J258" si="11">I195*F195</f>
        <v>321.26606965174125</v>
      </c>
      <c r="L195" s="162"/>
      <c r="M195" s="165">
        <f t="shared" si="9"/>
        <v>0</v>
      </c>
    </row>
    <row r="196" spans="1:13" ht="24.9" customHeight="1" x14ac:dyDescent="0.3">
      <c r="A196" s="155">
        <v>564083</v>
      </c>
      <c r="B196" s="154" t="s">
        <v>361</v>
      </c>
      <c r="C196" s="154"/>
      <c r="D196" s="160"/>
      <c r="E196" s="160"/>
      <c r="F196" s="289">
        <f>IFERROR(IFERROR(VLOOKUP(B196,'Product Cost - Price'!$C$5:$L$205,10,FALSE),VLOOKUP(B196,'C- Raw Products Costs'!$A$3:$H$72,8,FALSE)),0)</f>
        <v>0.81704602176300289</v>
      </c>
      <c r="H196" s="162"/>
      <c r="I196" s="164">
        <f t="shared" si="10"/>
        <v>0</v>
      </c>
      <c r="J196" s="166">
        <f t="shared" si="11"/>
        <v>0</v>
      </c>
      <c r="L196" s="162"/>
      <c r="M196" s="165">
        <f t="shared" si="9"/>
        <v>0</v>
      </c>
    </row>
    <row r="197" spans="1:13" ht="24.9" customHeight="1" x14ac:dyDescent="0.3">
      <c r="A197" s="155">
        <v>564084</v>
      </c>
      <c r="B197" s="154" t="s">
        <v>115</v>
      </c>
      <c r="C197" s="154"/>
      <c r="D197" s="160"/>
      <c r="E197" s="160"/>
      <c r="F197" s="289">
        <f>IFERROR(IFERROR(VLOOKUP(B197,'Product Cost - Price'!$C$5:$L$205,10,FALSE),VLOOKUP(B197,'C- Raw Products Costs'!$A$3:$H$72,8,FALSE)),0)</f>
        <v>0.81704602176300289</v>
      </c>
      <c r="H197" s="162"/>
      <c r="I197" s="164">
        <f t="shared" si="10"/>
        <v>0</v>
      </c>
      <c r="J197" s="166">
        <f t="shared" si="11"/>
        <v>0</v>
      </c>
      <c r="L197" s="162"/>
      <c r="M197" s="165">
        <f t="shared" si="9"/>
        <v>0</v>
      </c>
    </row>
    <row r="198" spans="1:13" ht="24.9" customHeight="1" x14ac:dyDescent="0.3">
      <c r="A198" s="155">
        <v>564087</v>
      </c>
      <c r="B198" s="154" t="s">
        <v>363</v>
      </c>
      <c r="C198" s="154"/>
      <c r="D198" s="160"/>
      <c r="E198" s="160"/>
      <c r="F198" s="289">
        <f>IFERROR(IFERROR(VLOOKUP(B198,'Product Cost - Price'!$C$5:$L$205,10,FALSE),VLOOKUP(B198,'C- Raw Products Costs'!$A$3:$H$72,8,FALSE)),0)</f>
        <v>1.7867033333333333</v>
      </c>
      <c r="H198" s="162"/>
      <c r="I198" s="164">
        <f t="shared" si="10"/>
        <v>0</v>
      </c>
      <c r="J198" s="166">
        <f t="shared" si="11"/>
        <v>0</v>
      </c>
      <c r="L198" s="162"/>
      <c r="M198" s="165">
        <f t="shared" si="9"/>
        <v>0</v>
      </c>
    </row>
    <row r="199" spans="1:13" ht="24.9" customHeight="1" x14ac:dyDescent="0.3">
      <c r="A199" s="155">
        <v>564088</v>
      </c>
      <c r="B199" s="154" t="s">
        <v>364</v>
      </c>
      <c r="C199" s="154"/>
      <c r="D199" s="160"/>
      <c r="E199" s="160"/>
      <c r="F199" s="289">
        <f>IFERROR(IFERROR(VLOOKUP(B199,'Product Cost - Price'!$C$5:$L$205,10,FALSE),VLOOKUP(B199,'C- Raw Products Costs'!$A$3:$H$72,8,FALSE)),0)</f>
        <v>1.7867033333333333</v>
      </c>
      <c r="H199" s="162"/>
      <c r="I199" s="164">
        <f t="shared" si="10"/>
        <v>0</v>
      </c>
      <c r="J199" s="166">
        <f t="shared" si="11"/>
        <v>0</v>
      </c>
      <c r="L199" s="162"/>
      <c r="M199" s="165">
        <f t="shared" si="9"/>
        <v>0</v>
      </c>
    </row>
    <row r="200" spans="1:13" ht="24.9" customHeight="1" x14ac:dyDescent="0.3">
      <c r="A200" s="155">
        <v>566843</v>
      </c>
      <c r="B200" s="154" t="s">
        <v>392</v>
      </c>
      <c r="C200" s="154"/>
      <c r="D200" s="160"/>
      <c r="E200" s="160"/>
      <c r="F200" s="289">
        <f>IFERROR(IFERROR(VLOOKUP(B200,'Product Cost - Price'!$C$5:$L$205,10,FALSE),VLOOKUP(B200,'C- Raw Products Costs'!$A$3:$H$72,8,FALSE)),0)</f>
        <v>1.1088121187881212</v>
      </c>
      <c r="H200" s="162"/>
      <c r="I200" s="164">
        <f t="shared" si="10"/>
        <v>0</v>
      </c>
      <c r="J200" s="166">
        <f t="shared" si="11"/>
        <v>0</v>
      </c>
      <c r="L200" s="162"/>
      <c r="M200" s="165">
        <f t="shared" si="9"/>
        <v>0</v>
      </c>
    </row>
    <row r="201" spans="1:13" ht="24.9" customHeight="1" x14ac:dyDescent="0.3">
      <c r="A201" s="155">
        <v>566844</v>
      </c>
      <c r="B201" s="154" t="s">
        <v>393</v>
      </c>
      <c r="C201" s="154"/>
      <c r="D201" s="160"/>
      <c r="E201" s="160"/>
      <c r="F201" s="289">
        <f>IFERROR(IFERROR(VLOOKUP(B201,'Product Cost - Price'!$C$5:$L$205,10,FALSE),VLOOKUP(B201,'C- Raw Products Costs'!$A$3:$H$72,8,FALSE)),0)</f>
        <v>1.1434640000000003</v>
      </c>
      <c r="H201" s="162"/>
      <c r="I201" s="164">
        <f t="shared" si="10"/>
        <v>0</v>
      </c>
      <c r="J201" s="166">
        <f t="shared" si="11"/>
        <v>0</v>
      </c>
      <c r="L201" s="162"/>
      <c r="M201" s="165">
        <f t="shared" si="9"/>
        <v>0</v>
      </c>
    </row>
    <row r="202" spans="1:13" ht="24.9" customHeight="1" x14ac:dyDescent="0.3">
      <c r="A202" s="155">
        <v>541287</v>
      </c>
      <c r="B202" s="154" t="s">
        <v>292</v>
      </c>
      <c r="C202" s="154"/>
      <c r="D202" s="160"/>
      <c r="E202" s="160"/>
      <c r="F202" s="289">
        <f>IFERROR(IFERROR(VLOOKUP(B202,'Product Cost - Price'!$C$5:$L$205,10,FALSE),VLOOKUP(B202,'C- Raw Products Costs'!$A$3:$H$72,8,FALSE)),0)</f>
        <v>1.1926458333333334</v>
      </c>
      <c r="H202" s="162"/>
      <c r="I202" s="164">
        <f t="shared" si="10"/>
        <v>0</v>
      </c>
      <c r="J202" s="166">
        <f t="shared" si="11"/>
        <v>0</v>
      </c>
      <c r="L202" s="162"/>
      <c r="M202" s="165">
        <f t="shared" si="9"/>
        <v>0</v>
      </c>
    </row>
    <row r="203" spans="1:13" ht="24.9" customHeight="1" x14ac:dyDescent="0.3">
      <c r="A203" s="155">
        <v>564048</v>
      </c>
      <c r="B203" s="154" t="s">
        <v>327</v>
      </c>
      <c r="C203" s="154"/>
      <c r="D203" s="160"/>
      <c r="E203" s="160"/>
      <c r="F203" s="289">
        <f>IFERROR(IFERROR(VLOOKUP(B203,'Product Cost - Price'!$C$5:$L$205,10,FALSE),VLOOKUP(B203,'C- Raw Products Costs'!$A$3:$H$72,8,FALSE)),0)</f>
        <v>0.88812410501193328</v>
      </c>
      <c r="H203" s="162"/>
      <c r="I203" s="164">
        <f t="shared" si="10"/>
        <v>0</v>
      </c>
      <c r="J203" s="166">
        <f t="shared" si="11"/>
        <v>0</v>
      </c>
      <c r="L203" s="162"/>
      <c r="M203" s="165">
        <f t="shared" si="9"/>
        <v>0</v>
      </c>
    </row>
    <row r="204" spans="1:13" ht="24.9" customHeight="1" x14ac:dyDescent="0.3">
      <c r="A204" s="155">
        <v>564049</v>
      </c>
      <c r="B204" s="154" t="s">
        <v>328</v>
      </c>
      <c r="C204" s="154"/>
      <c r="D204" s="160"/>
      <c r="E204" s="160"/>
      <c r="F204" s="289">
        <f>IFERROR(IFERROR(VLOOKUP(B204,'Product Cost - Price'!$C$5:$L$205,10,FALSE),VLOOKUP(B204,'C- Raw Products Costs'!$A$3:$H$72,8,FALSE)),0)</f>
        <v>0.88812410501193328</v>
      </c>
      <c r="H204" s="162"/>
      <c r="I204" s="164">
        <f t="shared" si="10"/>
        <v>0</v>
      </c>
      <c r="J204" s="166">
        <f t="shared" si="11"/>
        <v>0</v>
      </c>
      <c r="L204" s="162"/>
      <c r="M204" s="165">
        <f t="shared" si="9"/>
        <v>0</v>
      </c>
    </row>
    <row r="205" spans="1:13" ht="24.9" customHeight="1" x14ac:dyDescent="0.3">
      <c r="A205" s="155">
        <v>564058</v>
      </c>
      <c r="B205" s="154" t="s">
        <v>337</v>
      </c>
      <c r="C205" s="154"/>
      <c r="D205" s="160"/>
      <c r="E205" s="160"/>
      <c r="F205" s="289">
        <f>IFERROR(IFERROR(VLOOKUP(B205,'Product Cost - Price'!$C$5:$L$205,10,FALSE),VLOOKUP(B205,'C- Raw Products Costs'!$A$3:$H$72,8,FALSE)),0)</f>
        <v>1.0505984174085068</v>
      </c>
      <c r="H205" s="162"/>
      <c r="I205" s="164">
        <f t="shared" si="10"/>
        <v>0</v>
      </c>
      <c r="J205" s="166">
        <f t="shared" si="11"/>
        <v>0</v>
      </c>
      <c r="L205" s="162"/>
      <c r="M205" s="165">
        <f t="shared" si="9"/>
        <v>0</v>
      </c>
    </row>
    <row r="206" spans="1:13" ht="24.9" customHeight="1" x14ac:dyDescent="0.3">
      <c r="A206" s="155">
        <v>564059</v>
      </c>
      <c r="B206" s="154" t="s">
        <v>338</v>
      </c>
      <c r="C206" s="154"/>
      <c r="D206" s="160"/>
      <c r="E206" s="160"/>
      <c r="F206" s="289">
        <f>IFERROR(IFERROR(VLOOKUP(B206,'Product Cost - Price'!$C$5:$L$205,10,FALSE),VLOOKUP(B206,'C- Raw Products Costs'!$A$3:$H$72,8,FALSE)),0)</f>
        <v>1.0505984174085068</v>
      </c>
      <c r="H206" s="162"/>
      <c r="I206" s="164">
        <f t="shared" si="10"/>
        <v>0</v>
      </c>
      <c r="J206" s="166">
        <f t="shared" si="11"/>
        <v>0</v>
      </c>
      <c r="L206" s="162"/>
      <c r="M206" s="165">
        <f t="shared" si="9"/>
        <v>0</v>
      </c>
    </row>
    <row r="207" spans="1:13" ht="24.9" customHeight="1" x14ac:dyDescent="0.3">
      <c r="A207" s="155">
        <v>564056</v>
      </c>
      <c r="B207" s="154" t="s">
        <v>335</v>
      </c>
      <c r="C207" s="154"/>
      <c r="D207" s="160"/>
      <c r="E207" s="160"/>
      <c r="F207" s="289">
        <f>IFERROR(IFERROR(VLOOKUP(B207,'Product Cost - Price'!$C$5:$L$205,10,FALSE),VLOOKUP(B207,'C- Raw Products Costs'!$A$3:$H$72,8,FALSE)),0)</f>
        <v>1.0457758892036515</v>
      </c>
      <c r="H207" s="162"/>
      <c r="I207" s="164">
        <f t="shared" si="10"/>
        <v>0</v>
      </c>
      <c r="J207" s="166">
        <f t="shared" si="11"/>
        <v>0</v>
      </c>
      <c r="L207" s="162"/>
      <c r="M207" s="165">
        <f t="shared" si="9"/>
        <v>0</v>
      </c>
    </row>
    <row r="208" spans="1:13" ht="24.9" customHeight="1" x14ac:dyDescent="0.3">
      <c r="A208" s="155">
        <v>564057</v>
      </c>
      <c r="B208" s="154" t="s">
        <v>336</v>
      </c>
      <c r="C208" s="154"/>
      <c r="D208" s="160" t="s">
        <v>774</v>
      </c>
      <c r="E208" s="160">
        <v>1</v>
      </c>
      <c r="F208" s="289">
        <f>IFERROR(IFERROR(VLOOKUP(B208,'Product Cost - Price'!$C$5:$L$205,10,FALSE),VLOOKUP(B208,'C- Raw Products Costs'!$A$3:$H$72,8,FALSE)),0)</f>
        <v>1.0457758892036515</v>
      </c>
      <c r="H208" s="162"/>
      <c r="I208" s="164">
        <f t="shared" si="10"/>
        <v>0</v>
      </c>
      <c r="J208" s="166">
        <f t="shared" si="11"/>
        <v>0</v>
      </c>
      <c r="L208" s="162">
        <v>3962</v>
      </c>
      <c r="M208" s="165">
        <f t="shared" si="9"/>
        <v>4143.3640730248671</v>
      </c>
    </row>
    <row r="209" spans="1:13" ht="24.9" customHeight="1" x14ac:dyDescent="0.3">
      <c r="A209" s="155">
        <v>564060</v>
      </c>
      <c r="B209" s="154" t="s">
        <v>339</v>
      </c>
      <c r="C209" s="154"/>
      <c r="D209" s="160"/>
      <c r="E209" s="160"/>
      <c r="F209" s="289">
        <f>IFERROR(IFERROR(VLOOKUP(B209,'Product Cost - Price'!$C$5:$L$205,10,FALSE),VLOOKUP(B209,'C- Raw Products Costs'!$A$3:$H$72,8,FALSE)),0)</f>
        <v>1.0592157842157843</v>
      </c>
      <c r="H209" s="162"/>
      <c r="I209" s="164">
        <f t="shared" si="10"/>
        <v>0</v>
      </c>
      <c r="J209" s="166">
        <f t="shared" si="11"/>
        <v>0</v>
      </c>
      <c r="L209" s="162"/>
      <c r="M209" s="165">
        <f t="shared" si="9"/>
        <v>0</v>
      </c>
    </row>
    <row r="210" spans="1:13" ht="24.9" customHeight="1" x14ac:dyDescent="0.3">
      <c r="A210" s="155">
        <v>564061</v>
      </c>
      <c r="B210" s="154" t="s">
        <v>340</v>
      </c>
      <c r="C210" s="154"/>
      <c r="D210" s="160"/>
      <c r="E210" s="160"/>
      <c r="F210" s="289">
        <f>IFERROR(IFERROR(VLOOKUP(B210,'Product Cost - Price'!$C$5:$L$205,10,FALSE),VLOOKUP(B210,'C- Raw Products Costs'!$A$3:$H$72,8,FALSE)),0)</f>
        <v>1.0592157842157843</v>
      </c>
      <c r="H210" s="162"/>
      <c r="I210" s="164">
        <f t="shared" si="10"/>
        <v>0</v>
      </c>
      <c r="J210" s="166">
        <f t="shared" si="11"/>
        <v>0</v>
      </c>
      <c r="L210" s="162"/>
      <c r="M210" s="165">
        <f t="shared" si="9"/>
        <v>0</v>
      </c>
    </row>
    <row r="211" spans="1:13" ht="24.9" customHeight="1" x14ac:dyDescent="0.3">
      <c r="A211" s="155">
        <v>564052</v>
      </c>
      <c r="B211" s="154" t="s">
        <v>331</v>
      </c>
      <c r="C211" s="154"/>
      <c r="D211" s="160"/>
      <c r="E211" s="160"/>
      <c r="F211" s="289">
        <f>IFERROR(IFERROR(VLOOKUP(B211,'Product Cost - Price'!$C$5:$L$205,10,FALSE),VLOOKUP(B211,'C- Raw Products Costs'!$A$3:$H$72,8,FALSE)),0)</f>
        <v>0.91082914572864315</v>
      </c>
      <c r="H211" s="162"/>
      <c r="I211" s="164">
        <f t="shared" si="10"/>
        <v>0</v>
      </c>
      <c r="J211" s="166">
        <f t="shared" si="11"/>
        <v>0</v>
      </c>
      <c r="L211" s="162"/>
      <c r="M211" s="165">
        <f t="shared" si="9"/>
        <v>0</v>
      </c>
    </row>
    <row r="212" spans="1:13" ht="24.9" customHeight="1" x14ac:dyDescent="0.3">
      <c r="A212" s="155">
        <v>564053</v>
      </c>
      <c r="B212" s="154" t="s">
        <v>332</v>
      </c>
      <c r="C212" s="154"/>
      <c r="D212" s="160"/>
      <c r="E212" s="160"/>
      <c r="F212" s="289">
        <f>IFERROR(IFERROR(VLOOKUP(B212,'Product Cost - Price'!$C$5:$L$205,10,FALSE),VLOOKUP(B212,'C- Raw Products Costs'!$A$3:$H$72,8,FALSE)),0)</f>
        <v>0.91082914572864315</v>
      </c>
      <c r="H212" s="162"/>
      <c r="I212" s="164">
        <f t="shared" si="10"/>
        <v>0</v>
      </c>
      <c r="J212" s="166">
        <f t="shared" si="11"/>
        <v>0</v>
      </c>
      <c r="L212" s="162"/>
      <c r="M212" s="165">
        <f t="shared" ref="M212:M271" si="12">L212*F212</f>
        <v>0</v>
      </c>
    </row>
    <row r="213" spans="1:13" ht="24.9" customHeight="1" x14ac:dyDescent="0.3">
      <c r="A213" s="155">
        <v>564131</v>
      </c>
      <c r="B213" s="154" t="s">
        <v>376</v>
      </c>
      <c r="C213" s="154"/>
      <c r="D213" s="160" t="s">
        <v>774</v>
      </c>
      <c r="E213" s="160">
        <v>1</v>
      </c>
      <c r="F213" s="289">
        <f>IFERROR(IFERROR(VLOOKUP(B213,'Product Cost - Price'!$C$5:$L$205,10,FALSE),VLOOKUP(B213,'C- Raw Products Costs'!$A$3:$H$72,8,FALSE)),0)</f>
        <v>1.01761225</v>
      </c>
      <c r="H213" s="162">
        <v>817</v>
      </c>
      <c r="I213" s="164">
        <f t="shared" si="10"/>
        <v>817</v>
      </c>
      <c r="J213" s="166">
        <f t="shared" si="11"/>
        <v>831.38920825000002</v>
      </c>
      <c r="L213" s="162">
        <v>808</v>
      </c>
      <c r="M213" s="165">
        <f t="shared" si="12"/>
        <v>822.23069799999996</v>
      </c>
    </row>
    <row r="214" spans="1:13" ht="24.9" customHeight="1" x14ac:dyDescent="0.3">
      <c r="A214" s="155">
        <v>563503</v>
      </c>
      <c r="B214" s="154" t="s">
        <v>324</v>
      </c>
      <c r="C214" s="154"/>
      <c r="D214" s="160" t="s">
        <v>775</v>
      </c>
      <c r="E214" s="160">
        <v>20</v>
      </c>
      <c r="F214" s="289">
        <f>IFERROR(IFERROR(VLOOKUP(B214,'Product Cost - Price'!$C$5:$L$205,10,FALSE),VLOOKUP(B214,'C- Raw Products Costs'!$A$3:$H$72,8,FALSE)),0)</f>
        <v>0.85643935606439359</v>
      </c>
      <c r="H214" s="162"/>
      <c r="I214" s="164">
        <f t="shared" si="10"/>
        <v>0</v>
      </c>
      <c r="J214" s="166">
        <f t="shared" si="11"/>
        <v>0</v>
      </c>
      <c r="L214" s="162">
        <v>1600</v>
      </c>
      <c r="M214" s="165">
        <f t="shared" si="12"/>
        <v>1370.3029697030297</v>
      </c>
    </row>
    <row r="215" spans="1:13" ht="24.9" customHeight="1" x14ac:dyDescent="0.3">
      <c r="A215" s="155">
        <v>564067</v>
      </c>
      <c r="B215" s="154" t="s">
        <v>346</v>
      </c>
      <c r="C215" s="154"/>
      <c r="D215" s="160"/>
      <c r="E215" s="160"/>
      <c r="F215" s="289">
        <f>IFERROR(IFERROR(VLOOKUP(B215,'Product Cost - Price'!$C$5:$L$205,10,FALSE),VLOOKUP(B215,'C- Raw Products Costs'!$A$3:$H$72,8,FALSE)),0)</f>
        <v>0.85643935606439359</v>
      </c>
      <c r="H215" s="162"/>
      <c r="I215" s="164">
        <f t="shared" si="10"/>
        <v>0</v>
      </c>
      <c r="J215" s="166">
        <f t="shared" si="11"/>
        <v>0</v>
      </c>
      <c r="L215" s="162"/>
      <c r="M215" s="165">
        <f t="shared" si="12"/>
        <v>0</v>
      </c>
    </row>
    <row r="216" spans="1:13" ht="24.9" customHeight="1" x14ac:dyDescent="0.3">
      <c r="A216" s="155">
        <v>563504</v>
      </c>
      <c r="B216" s="154" t="s">
        <v>325</v>
      </c>
      <c r="C216" s="154"/>
      <c r="D216" s="160" t="s">
        <v>775</v>
      </c>
      <c r="E216" s="160">
        <v>20</v>
      </c>
      <c r="F216" s="289">
        <f>IFERROR(IFERROR(VLOOKUP(B216,'Product Cost - Price'!$C$5:$L$205,10,FALSE),VLOOKUP(B216,'C- Raw Products Costs'!$A$3:$H$72,8,FALSE)),0)</f>
        <v>0.74367249999999996</v>
      </c>
      <c r="H216" s="162"/>
      <c r="I216" s="164">
        <f t="shared" si="10"/>
        <v>0</v>
      </c>
      <c r="J216" s="166">
        <f t="shared" si="11"/>
        <v>0</v>
      </c>
      <c r="L216" s="162">
        <v>1000</v>
      </c>
      <c r="M216" s="165">
        <f t="shared" si="12"/>
        <v>743.67250000000001</v>
      </c>
    </row>
    <row r="217" spans="1:13" ht="24.9" customHeight="1" x14ac:dyDescent="0.3">
      <c r="A217" s="155">
        <v>564066</v>
      </c>
      <c r="B217" s="154" t="s">
        <v>345</v>
      </c>
      <c r="C217" s="154"/>
      <c r="D217" s="160"/>
      <c r="E217" s="160"/>
      <c r="F217" s="289">
        <f>IFERROR(IFERROR(VLOOKUP(B217,'Product Cost - Price'!$C$5:$L$205,10,FALSE),VLOOKUP(B217,'C- Raw Products Costs'!$A$3:$H$72,8,FALSE)),0)</f>
        <v>0.74367249999999996</v>
      </c>
      <c r="H217" s="162"/>
      <c r="I217" s="164">
        <f t="shared" si="10"/>
        <v>0</v>
      </c>
      <c r="J217" s="166">
        <f t="shared" si="11"/>
        <v>0</v>
      </c>
      <c r="L217" s="162"/>
      <c r="M217" s="165">
        <f t="shared" si="12"/>
        <v>0</v>
      </c>
    </row>
    <row r="218" spans="1:13" ht="24.9" customHeight="1" x14ac:dyDescent="0.3">
      <c r="A218" s="155">
        <v>563502</v>
      </c>
      <c r="B218" s="154" t="s">
        <v>323</v>
      </c>
      <c r="C218" s="154"/>
      <c r="D218" s="160"/>
      <c r="E218" s="160"/>
      <c r="F218" s="289">
        <f>IFERROR(IFERROR(VLOOKUP(B218,'Product Cost - Price'!$C$5:$L$205,10,FALSE),VLOOKUP(B218,'C- Raw Products Costs'!$A$3:$H$72,8,FALSE)),0)</f>
        <v>0.78319649999999996</v>
      </c>
      <c r="H218" s="162"/>
      <c r="I218" s="164">
        <f t="shared" si="10"/>
        <v>0</v>
      </c>
      <c r="J218" s="166">
        <f t="shared" si="11"/>
        <v>0</v>
      </c>
      <c r="L218" s="162"/>
      <c r="M218" s="165">
        <f t="shared" si="12"/>
        <v>0</v>
      </c>
    </row>
    <row r="219" spans="1:13" ht="24.9" customHeight="1" x14ac:dyDescent="0.3">
      <c r="A219" s="155">
        <v>564068</v>
      </c>
      <c r="B219" s="154" t="s">
        <v>347</v>
      </c>
      <c r="C219" s="154"/>
      <c r="D219" s="160"/>
      <c r="E219" s="160"/>
      <c r="F219" s="289">
        <f>IFERROR(IFERROR(VLOOKUP(B219,'Product Cost - Price'!$C$5:$L$205,10,FALSE),VLOOKUP(B219,'C- Raw Products Costs'!$A$3:$H$72,8,FALSE)),0)</f>
        <v>0.78319649999999996</v>
      </c>
      <c r="H219" s="162"/>
      <c r="I219" s="164">
        <f t="shared" si="10"/>
        <v>0</v>
      </c>
      <c r="J219" s="166">
        <f t="shared" si="11"/>
        <v>0</v>
      </c>
      <c r="L219" s="162"/>
      <c r="M219" s="165">
        <f t="shared" si="12"/>
        <v>0</v>
      </c>
    </row>
    <row r="220" spans="1:13" ht="24.9" customHeight="1" x14ac:dyDescent="0.3">
      <c r="A220" s="155">
        <v>564132</v>
      </c>
      <c r="B220" s="154" t="s">
        <v>377</v>
      </c>
      <c r="C220" s="154"/>
      <c r="D220" s="160"/>
      <c r="E220" s="160"/>
      <c r="F220" s="289">
        <f>IFERROR(IFERROR(VLOOKUP(B220,'Product Cost - Price'!$C$5:$L$205,10,FALSE),VLOOKUP(B220,'C- Raw Products Costs'!$A$3:$H$72,8,FALSE)),0)</f>
        <v>0.88812410501193328</v>
      </c>
      <c r="H220" s="162"/>
      <c r="I220" s="164">
        <f t="shared" si="10"/>
        <v>0</v>
      </c>
      <c r="J220" s="166">
        <f t="shared" si="11"/>
        <v>0</v>
      </c>
      <c r="L220" s="162"/>
      <c r="M220" s="165">
        <f t="shared" si="12"/>
        <v>0</v>
      </c>
    </row>
    <row r="221" spans="1:13" ht="24.9" customHeight="1" x14ac:dyDescent="0.3">
      <c r="A221" s="155">
        <v>541158</v>
      </c>
      <c r="B221" s="154" t="s">
        <v>288</v>
      </c>
      <c r="C221" s="154"/>
      <c r="D221" s="160" t="s">
        <v>775</v>
      </c>
      <c r="E221" s="160">
        <v>20</v>
      </c>
      <c r="F221" s="289">
        <f>IFERROR(IFERROR(VLOOKUP(B221,'Product Cost - Price'!$C$5:$L$205,10,FALSE),VLOOKUP(B221,'C- Raw Products Costs'!$A$3:$H$72,8,FALSE)),0)</f>
        <v>0.96090442708333335</v>
      </c>
      <c r="H221" s="162"/>
      <c r="I221" s="164">
        <f t="shared" si="10"/>
        <v>0</v>
      </c>
      <c r="J221" s="166">
        <f t="shared" si="11"/>
        <v>0</v>
      </c>
      <c r="L221" s="162">
        <v>480</v>
      </c>
      <c r="M221" s="165">
        <f t="shared" si="12"/>
        <v>461.23412500000001</v>
      </c>
    </row>
    <row r="222" spans="1:13" ht="24.9" customHeight="1" x14ac:dyDescent="0.3">
      <c r="A222" s="155">
        <v>566842</v>
      </c>
      <c r="B222" s="154" t="s">
        <v>391</v>
      </c>
      <c r="C222" s="154"/>
      <c r="D222" s="160" t="s">
        <v>775</v>
      </c>
      <c r="E222" s="160">
        <v>15</v>
      </c>
      <c r="F222" s="289">
        <f>IFERROR(IFERROR(VLOOKUP(B222,'Product Cost - Price'!$C$5:$L$205,10,FALSE),VLOOKUP(B222,'C- Raw Products Costs'!$A$3:$H$72,8,FALSE)),0)</f>
        <v>0</v>
      </c>
      <c r="H222" s="162"/>
      <c r="I222" s="164">
        <f t="shared" si="10"/>
        <v>0</v>
      </c>
      <c r="J222" s="166">
        <f t="shared" si="11"/>
        <v>0</v>
      </c>
      <c r="L222" s="162">
        <v>525</v>
      </c>
      <c r="M222" s="165">
        <f t="shared" si="12"/>
        <v>0</v>
      </c>
    </row>
    <row r="223" spans="1:13" ht="24.9" customHeight="1" x14ac:dyDescent="0.3">
      <c r="A223" s="155">
        <v>577214</v>
      </c>
      <c r="B223" s="154" t="s">
        <v>402</v>
      </c>
      <c r="C223" s="154"/>
      <c r="D223" s="160"/>
      <c r="E223" s="160"/>
      <c r="F223" s="289">
        <f>IFERROR(IFERROR(VLOOKUP(B223,'Product Cost - Price'!$C$5:$L$205,10,FALSE),VLOOKUP(B223,'C- Raw Products Costs'!$A$3:$H$72,8,FALSE)),0)</f>
        <v>1.3575328100000001</v>
      </c>
      <c r="H223" s="162"/>
      <c r="I223" s="164">
        <f t="shared" si="10"/>
        <v>0</v>
      </c>
      <c r="J223" s="166">
        <f t="shared" si="11"/>
        <v>0</v>
      </c>
      <c r="L223" s="162"/>
      <c r="M223" s="165">
        <f t="shared" si="12"/>
        <v>0</v>
      </c>
    </row>
    <row r="224" spans="1:13" ht="24.9" customHeight="1" x14ac:dyDescent="0.3">
      <c r="A224" s="155">
        <v>564064</v>
      </c>
      <c r="B224" s="154" t="s">
        <v>343</v>
      </c>
      <c r="C224" s="154"/>
      <c r="D224" s="160" t="s">
        <v>775</v>
      </c>
      <c r="E224" s="160">
        <v>12</v>
      </c>
      <c r="F224" s="289">
        <f>IFERROR(IFERROR(VLOOKUP(B224,'Product Cost - Price'!$C$5:$L$205,10,FALSE),VLOOKUP(B224,'C- Raw Products Costs'!$A$3:$H$72,8,FALSE)),0)</f>
        <v>1.0557413</v>
      </c>
      <c r="H224" s="162"/>
      <c r="I224" s="164">
        <f t="shared" si="10"/>
        <v>0</v>
      </c>
      <c r="J224" s="166">
        <f t="shared" si="11"/>
        <v>0</v>
      </c>
      <c r="L224" s="162">
        <v>720</v>
      </c>
      <c r="M224" s="165">
        <f t="shared" si="12"/>
        <v>760.133736</v>
      </c>
    </row>
    <row r="225" spans="1:13" ht="24.9" customHeight="1" x14ac:dyDescent="0.3">
      <c r="A225" s="155">
        <v>564065</v>
      </c>
      <c r="B225" s="154" t="s">
        <v>344</v>
      </c>
      <c r="C225" s="154"/>
      <c r="D225" s="160" t="s">
        <v>774</v>
      </c>
      <c r="E225" s="160">
        <v>1</v>
      </c>
      <c r="F225" s="289">
        <f>IFERROR(IFERROR(VLOOKUP(B225,'Product Cost - Price'!$C$5:$L$205,10,FALSE),VLOOKUP(B225,'C- Raw Products Costs'!$A$3:$H$72,8,FALSE)),0)</f>
        <v>1.0557413</v>
      </c>
      <c r="H225" s="162"/>
      <c r="I225" s="164">
        <f t="shared" si="10"/>
        <v>0</v>
      </c>
      <c r="J225" s="166">
        <f t="shared" si="11"/>
        <v>0</v>
      </c>
      <c r="L225" s="162">
        <v>665</v>
      </c>
      <c r="M225" s="165">
        <f t="shared" si="12"/>
        <v>702.06796450000002</v>
      </c>
    </row>
    <row r="226" spans="1:13" ht="24.9" customHeight="1" x14ac:dyDescent="0.3">
      <c r="A226" s="155">
        <v>578050</v>
      </c>
      <c r="B226" s="154" t="s">
        <v>120</v>
      </c>
      <c r="C226" s="154"/>
      <c r="D226" s="160" t="s">
        <v>775</v>
      </c>
      <c r="E226" s="160">
        <v>15</v>
      </c>
      <c r="F226" s="289">
        <f>IFERROR(IFERROR(VLOOKUP(B226,'Product Cost - Price'!$C$5:$L$205,10,FALSE),VLOOKUP(B226,'C- Raw Products Costs'!$A$3:$H$72,8,FALSE)),0)</f>
        <v>0.91243181000000007</v>
      </c>
      <c r="H226" s="162"/>
      <c r="I226" s="164">
        <f t="shared" si="10"/>
        <v>0</v>
      </c>
      <c r="J226" s="166">
        <f t="shared" si="11"/>
        <v>0</v>
      </c>
      <c r="L226" s="162">
        <v>900</v>
      </c>
      <c r="M226" s="165">
        <f t="shared" si="12"/>
        <v>821.18862900000011</v>
      </c>
    </row>
    <row r="227" spans="1:13" ht="24.9" customHeight="1" x14ac:dyDescent="0.3">
      <c r="A227" s="155">
        <v>578051</v>
      </c>
      <c r="B227" s="154" t="s">
        <v>404</v>
      </c>
      <c r="C227" s="154"/>
      <c r="D227" s="160" t="s">
        <v>774</v>
      </c>
      <c r="E227" s="160">
        <v>1</v>
      </c>
      <c r="F227" s="289">
        <f>IFERROR(IFERROR(VLOOKUP(B227,'Product Cost - Price'!$C$5:$L$205,10,FALSE),VLOOKUP(B227,'C- Raw Products Costs'!$A$3:$H$72,8,FALSE)),0)</f>
        <v>0.91243181000000007</v>
      </c>
      <c r="H227" s="162"/>
      <c r="I227" s="164">
        <f t="shared" si="10"/>
        <v>0</v>
      </c>
      <c r="J227" s="166">
        <f t="shared" si="11"/>
        <v>0</v>
      </c>
      <c r="L227" s="162">
        <v>758</v>
      </c>
      <c r="M227" s="165">
        <f t="shared" si="12"/>
        <v>691.62331198000004</v>
      </c>
    </row>
    <row r="228" spans="1:13" ht="24.9" customHeight="1" x14ac:dyDescent="0.3">
      <c r="A228" s="155">
        <v>564062</v>
      </c>
      <c r="B228" s="154" t="s">
        <v>341</v>
      </c>
      <c r="C228" s="154"/>
      <c r="D228" s="160" t="s">
        <v>775</v>
      </c>
      <c r="E228" s="160">
        <v>15</v>
      </c>
      <c r="F228" s="289">
        <f>IFERROR(IFERROR(VLOOKUP(B228,'Product Cost - Price'!$C$5:$L$205,10,FALSE),VLOOKUP(B228,'C- Raw Products Costs'!$A$3:$H$72,8,FALSE)),0)</f>
        <v>0.87259290641871623</v>
      </c>
      <c r="H228" s="162">
        <v>60</v>
      </c>
      <c r="I228" s="164">
        <f t="shared" si="10"/>
        <v>900</v>
      </c>
      <c r="J228" s="166">
        <f t="shared" si="11"/>
        <v>785.33361577684457</v>
      </c>
      <c r="L228" s="162">
        <v>2250</v>
      </c>
      <c r="M228" s="165">
        <f t="shared" si="12"/>
        <v>1963.3340394421116</v>
      </c>
    </row>
    <row r="229" spans="1:13" ht="24.9" customHeight="1" x14ac:dyDescent="0.3">
      <c r="A229" s="155">
        <v>564063</v>
      </c>
      <c r="B229" s="154" t="s">
        <v>342</v>
      </c>
      <c r="C229" s="154"/>
      <c r="D229" s="160" t="s">
        <v>774</v>
      </c>
      <c r="E229" s="160">
        <v>1</v>
      </c>
      <c r="F229" s="289">
        <f>IFERROR(IFERROR(VLOOKUP(B229,'Product Cost - Price'!$C$5:$L$205,10,FALSE),VLOOKUP(B229,'C- Raw Products Costs'!$A$3:$H$72,8,FALSE)),0)</f>
        <v>0.87259290641871623</v>
      </c>
      <c r="H229" s="162">
        <v>1410</v>
      </c>
      <c r="I229" s="164">
        <f t="shared" si="10"/>
        <v>1410</v>
      </c>
      <c r="J229" s="166">
        <f t="shared" si="11"/>
        <v>1230.3559980503899</v>
      </c>
      <c r="L229" s="162">
        <v>1125</v>
      </c>
      <c r="M229" s="165">
        <f t="shared" si="12"/>
        <v>981.66701972105579</v>
      </c>
    </row>
    <row r="230" spans="1:13" ht="24.9" customHeight="1" x14ac:dyDescent="0.3">
      <c r="A230" s="155">
        <v>564071</v>
      </c>
      <c r="B230" s="154" t="s">
        <v>350</v>
      </c>
      <c r="C230" s="154"/>
      <c r="D230" s="160"/>
      <c r="E230" s="160"/>
      <c r="F230" s="289">
        <f>IFERROR(IFERROR(VLOOKUP(B230,'Product Cost - Price'!$C$5:$L$205,10,FALSE),VLOOKUP(B230,'C- Raw Products Costs'!$A$3:$H$72,8,FALSE)),0)</f>
        <v>0.89027512690355326</v>
      </c>
      <c r="H230" s="162"/>
      <c r="I230" s="164">
        <f t="shared" si="10"/>
        <v>0</v>
      </c>
      <c r="J230" s="166">
        <f t="shared" si="11"/>
        <v>0</v>
      </c>
      <c r="L230" s="162"/>
      <c r="M230" s="165">
        <f t="shared" si="12"/>
        <v>0</v>
      </c>
    </row>
    <row r="231" spans="1:13" ht="24.9" customHeight="1" x14ac:dyDescent="0.3">
      <c r="A231" s="155">
        <v>564072</v>
      </c>
      <c r="B231" s="154" t="s">
        <v>351</v>
      </c>
      <c r="C231" s="154"/>
      <c r="D231" s="160" t="s">
        <v>774</v>
      </c>
      <c r="E231" s="160">
        <v>1</v>
      </c>
      <c r="F231" s="289">
        <f>IFERROR(IFERROR(VLOOKUP(B231,'Product Cost - Price'!$C$5:$L$205,10,FALSE),VLOOKUP(B231,'C- Raw Products Costs'!$A$3:$H$72,8,FALSE)),0)</f>
        <v>0.89027512690355326</v>
      </c>
      <c r="H231" s="162"/>
      <c r="I231" s="164">
        <f t="shared" si="10"/>
        <v>0</v>
      </c>
      <c r="J231" s="166">
        <f t="shared" si="11"/>
        <v>0</v>
      </c>
      <c r="L231" s="162">
        <v>1617</v>
      </c>
      <c r="M231" s="165">
        <f t="shared" si="12"/>
        <v>1439.5748802030457</v>
      </c>
    </row>
    <row r="232" spans="1:13" ht="24.9" customHeight="1" x14ac:dyDescent="0.3">
      <c r="A232" s="155">
        <v>577383</v>
      </c>
      <c r="B232" s="154" t="s">
        <v>403</v>
      </c>
      <c r="C232" s="154"/>
      <c r="D232" s="160"/>
      <c r="E232" s="160"/>
      <c r="F232" s="289">
        <f>IFERROR(IFERROR(VLOOKUP(B232,'Product Cost - Price'!$C$5:$L$205,10,FALSE),VLOOKUP(B232,'C- Raw Products Costs'!$A$3:$H$72,8,FALSE)),0)</f>
        <v>1.5531322601073225</v>
      </c>
      <c r="H232" s="162"/>
      <c r="I232" s="164">
        <f t="shared" si="10"/>
        <v>0</v>
      </c>
      <c r="J232" s="166">
        <f t="shared" si="11"/>
        <v>0</v>
      </c>
      <c r="L232" s="162"/>
      <c r="M232" s="165">
        <f t="shared" si="12"/>
        <v>0</v>
      </c>
    </row>
    <row r="233" spans="1:13" ht="24.9" customHeight="1" x14ac:dyDescent="0.3">
      <c r="A233" s="155">
        <v>564077</v>
      </c>
      <c r="B233" s="154" t="s">
        <v>355</v>
      </c>
      <c r="C233" s="154"/>
      <c r="D233" s="160"/>
      <c r="E233" s="160"/>
      <c r="F233" s="289">
        <f>IFERROR(IFERROR(VLOOKUP(B233,'Product Cost - Price'!$C$5:$L$205,10,FALSE),VLOOKUP(B233,'C- Raw Products Costs'!$A$3:$H$72,8,FALSE)),0)</f>
        <v>1.2299111702127659</v>
      </c>
      <c r="H233" s="162"/>
      <c r="I233" s="164">
        <f t="shared" si="10"/>
        <v>0</v>
      </c>
      <c r="J233" s="166">
        <f t="shared" si="11"/>
        <v>0</v>
      </c>
      <c r="L233" s="162"/>
      <c r="M233" s="165">
        <f t="shared" si="12"/>
        <v>0</v>
      </c>
    </row>
    <row r="234" spans="1:13" ht="24.9" customHeight="1" x14ac:dyDescent="0.3">
      <c r="A234" s="155">
        <v>564078</v>
      </c>
      <c r="B234" s="154" t="s">
        <v>356</v>
      </c>
      <c r="C234" s="154"/>
      <c r="D234" s="160"/>
      <c r="E234" s="160"/>
      <c r="F234" s="289">
        <f>IFERROR(IFERROR(VLOOKUP(B234,'Product Cost - Price'!$C$5:$L$205,10,FALSE),VLOOKUP(B234,'C- Raw Products Costs'!$A$3:$H$72,8,FALSE)),0)</f>
        <v>1.2299111702127659</v>
      </c>
      <c r="H234" s="162"/>
      <c r="I234" s="164">
        <f t="shared" si="10"/>
        <v>0</v>
      </c>
      <c r="J234" s="166">
        <f t="shared" si="11"/>
        <v>0</v>
      </c>
      <c r="L234" s="162"/>
      <c r="M234" s="165">
        <f t="shared" si="12"/>
        <v>0</v>
      </c>
    </row>
    <row r="235" spans="1:13" ht="24.9" customHeight="1" x14ac:dyDescent="0.3">
      <c r="A235" s="155">
        <v>564075</v>
      </c>
      <c r="B235" s="154" t="s">
        <v>353</v>
      </c>
      <c r="C235" s="154"/>
      <c r="D235" s="160"/>
      <c r="E235" s="160"/>
      <c r="F235" s="289">
        <f>IFERROR(IFERROR(VLOOKUP(B235,'Product Cost - Price'!$C$5:$L$205,10,FALSE),VLOOKUP(B235,'C- Raw Products Costs'!$A$3:$H$72,8,FALSE)),0)</f>
        <v>0.96711800000000014</v>
      </c>
      <c r="H235" s="162"/>
      <c r="I235" s="164">
        <f t="shared" si="10"/>
        <v>0</v>
      </c>
      <c r="J235" s="166">
        <f t="shared" si="11"/>
        <v>0</v>
      </c>
      <c r="L235" s="162"/>
      <c r="M235" s="165">
        <f t="shared" si="12"/>
        <v>0</v>
      </c>
    </row>
    <row r="236" spans="1:13" ht="24.9" customHeight="1" x14ac:dyDescent="0.3">
      <c r="A236" s="155">
        <v>564076</v>
      </c>
      <c r="B236" s="154" t="s">
        <v>354</v>
      </c>
      <c r="C236" s="154"/>
      <c r="D236" s="160"/>
      <c r="E236" s="160"/>
      <c r="F236" s="289">
        <f>IFERROR(IFERROR(VLOOKUP(B236,'Product Cost - Price'!$C$5:$L$205,10,FALSE),VLOOKUP(B236,'C- Raw Products Costs'!$A$3:$H$72,8,FALSE)),0)</f>
        <v>0.96711800000000014</v>
      </c>
      <c r="H236" s="162"/>
      <c r="I236" s="164">
        <f t="shared" si="10"/>
        <v>0</v>
      </c>
      <c r="J236" s="166">
        <f t="shared" si="11"/>
        <v>0</v>
      </c>
      <c r="L236" s="162"/>
      <c r="M236" s="165">
        <f t="shared" si="12"/>
        <v>0</v>
      </c>
    </row>
    <row r="237" spans="1:13" ht="24.9" customHeight="1" x14ac:dyDescent="0.3">
      <c r="A237" s="155">
        <v>564130</v>
      </c>
      <c r="B237" s="154" t="s">
        <v>375</v>
      </c>
      <c r="C237" s="154"/>
      <c r="D237" s="160"/>
      <c r="E237" s="160"/>
      <c r="F237" s="289">
        <f>IFERROR(IFERROR(VLOOKUP(B237,'Product Cost - Price'!$C$5:$L$205,10,FALSE),VLOOKUP(B237,'C- Raw Products Costs'!$A$3:$H$72,8,FALSE)),0)</f>
        <v>1.01761225</v>
      </c>
      <c r="H237" s="162"/>
      <c r="I237" s="164">
        <f t="shared" si="10"/>
        <v>0</v>
      </c>
      <c r="J237" s="166">
        <f t="shared" si="11"/>
        <v>0</v>
      </c>
      <c r="L237" s="162"/>
      <c r="M237" s="165">
        <f t="shared" si="12"/>
        <v>0</v>
      </c>
    </row>
    <row r="238" spans="1:13" ht="24.9" customHeight="1" x14ac:dyDescent="0.3">
      <c r="A238" s="155">
        <v>576968</v>
      </c>
      <c r="B238" s="154" t="s">
        <v>401</v>
      </c>
      <c r="C238" s="154"/>
      <c r="D238" s="160" t="s">
        <v>775</v>
      </c>
      <c r="E238" s="160">
        <v>20</v>
      </c>
      <c r="F238" s="289">
        <f>IFERROR(IFERROR(VLOOKUP(B238,'Product Cost - Price'!$C$5:$L$205,10,FALSE),VLOOKUP(B238,'C- Raw Products Costs'!$A$3:$H$72,8,FALSE)),0)</f>
        <v>0.89027512690355326</v>
      </c>
      <c r="H238" s="162"/>
      <c r="I238" s="164">
        <f t="shared" si="10"/>
        <v>0</v>
      </c>
      <c r="J238" s="166">
        <f t="shared" si="11"/>
        <v>0</v>
      </c>
      <c r="L238" s="162">
        <v>1200</v>
      </c>
      <c r="M238" s="165">
        <f t="shared" si="12"/>
        <v>1068.3301522842639</v>
      </c>
    </row>
    <row r="239" spans="1:13" ht="24.9" customHeight="1" x14ac:dyDescent="0.3">
      <c r="A239" s="155">
        <v>564079</v>
      </c>
      <c r="B239" s="154" t="s">
        <v>357</v>
      </c>
      <c r="C239" s="154"/>
      <c r="D239" s="160"/>
      <c r="E239" s="160"/>
      <c r="F239" s="289">
        <f>IFERROR(IFERROR(VLOOKUP(B239,'Product Cost - Price'!$C$5:$L$205,10,FALSE),VLOOKUP(B239,'C- Raw Products Costs'!$A$3:$H$72,8,FALSE)),0)</f>
        <v>0.85439560439560436</v>
      </c>
      <c r="H239" s="162"/>
      <c r="I239" s="164">
        <f t="shared" si="10"/>
        <v>0</v>
      </c>
      <c r="J239" s="166">
        <f t="shared" si="11"/>
        <v>0</v>
      </c>
      <c r="L239" s="162"/>
      <c r="M239" s="165">
        <f t="shared" si="12"/>
        <v>0</v>
      </c>
    </row>
    <row r="240" spans="1:13" ht="24.9" customHeight="1" x14ac:dyDescent="0.3">
      <c r="A240" s="155">
        <v>564080</v>
      </c>
      <c r="B240" s="154" t="s">
        <v>358</v>
      </c>
      <c r="C240" s="154"/>
      <c r="D240" s="160"/>
      <c r="E240" s="160"/>
      <c r="F240" s="289">
        <f>IFERROR(IFERROR(VLOOKUP(B240,'Product Cost - Price'!$C$5:$L$205,10,FALSE),VLOOKUP(B240,'C- Raw Products Costs'!$A$3:$H$72,8,FALSE)),0)</f>
        <v>0.85439560439560436</v>
      </c>
      <c r="H240" s="162"/>
      <c r="I240" s="164">
        <f t="shared" si="10"/>
        <v>0</v>
      </c>
      <c r="J240" s="166">
        <f t="shared" si="11"/>
        <v>0</v>
      </c>
      <c r="L240" s="162"/>
      <c r="M240" s="165">
        <f t="shared" si="12"/>
        <v>0</v>
      </c>
    </row>
    <row r="241" spans="1:13" ht="24.9" customHeight="1" x14ac:dyDescent="0.3">
      <c r="A241" s="155">
        <v>541157</v>
      </c>
      <c r="B241" s="154" t="s">
        <v>287</v>
      </c>
      <c r="C241" s="154"/>
      <c r="D241" s="160" t="s">
        <v>775</v>
      </c>
      <c r="E241" s="160">
        <v>20</v>
      </c>
      <c r="F241" s="289">
        <f>IFERROR(IFERROR(VLOOKUP(B241,'Product Cost - Price'!$C$5:$L$205,10,FALSE),VLOOKUP(B241,'C- Raw Products Costs'!$A$3:$H$72,8,FALSE)),0)</f>
        <v>0.49981368159203982</v>
      </c>
      <c r="H241" s="162"/>
      <c r="I241" s="164">
        <f t="shared" si="10"/>
        <v>0</v>
      </c>
      <c r="J241" s="166">
        <f t="shared" si="11"/>
        <v>0</v>
      </c>
      <c r="L241" s="162">
        <v>700</v>
      </c>
      <c r="M241" s="165">
        <f t="shared" si="12"/>
        <v>349.8695771144279</v>
      </c>
    </row>
    <row r="242" spans="1:13" ht="24.9" customHeight="1" x14ac:dyDescent="0.3">
      <c r="A242" s="155">
        <v>564294</v>
      </c>
      <c r="B242" s="154" t="s">
        <v>378</v>
      </c>
      <c r="C242" s="154"/>
      <c r="D242" s="160"/>
      <c r="E242" s="160"/>
      <c r="F242" s="289">
        <f>IFERROR(IFERROR(VLOOKUP(B242,'Product Cost - Price'!$C$5:$L$205,10,FALSE),VLOOKUP(B242,'C- Raw Products Costs'!$A$3:$H$72,8,FALSE)),0)</f>
        <v>0.96711800000000014</v>
      </c>
      <c r="H242" s="162"/>
      <c r="I242" s="164">
        <f t="shared" si="10"/>
        <v>0</v>
      </c>
      <c r="J242" s="166">
        <f t="shared" si="11"/>
        <v>0</v>
      </c>
      <c r="L242" s="162"/>
      <c r="M242" s="165">
        <f t="shared" si="12"/>
        <v>0</v>
      </c>
    </row>
    <row r="243" spans="1:13" ht="24.9" customHeight="1" x14ac:dyDescent="0.3">
      <c r="A243" s="155">
        <v>564295</v>
      </c>
      <c r="B243" s="154" t="s">
        <v>379</v>
      </c>
      <c r="C243" s="154"/>
      <c r="D243" s="160"/>
      <c r="E243" s="160"/>
      <c r="F243" s="289">
        <f>IFERROR(IFERROR(VLOOKUP(B243,'Product Cost - Price'!$C$5:$L$205,10,FALSE),VLOOKUP(B243,'C- Raw Products Costs'!$A$3:$H$72,8,FALSE)),0)</f>
        <v>0.96711800000000014</v>
      </c>
      <c r="H243" s="162"/>
      <c r="I243" s="164">
        <f t="shared" si="10"/>
        <v>0</v>
      </c>
      <c r="J243" s="166">
        <f t="shared" si="11"/>
        <v>0</v>
      </c>
      <c r="L243" s="162"/>
      <c r="M243" s="165">
        <f t="shared" si="12"/>
        <v>0</v>
      </c>
    </row>
    <row r="244" spans="1:13" ht="24.9" customHeight="1" x14ac:dyDescent="0.3">
      <c r="A244" s="155">
        <v>564081</v>
      </c>
      <c r="B244" s="154" t="s">
        <v>359</v>
      </c>
      <c r="C244" s="154"/>
      <c r="D244" s="160" t="s">
        <v>775</v>
      </c>
      <c r="E244" s="160">
        <v>20</v>
      </c>
      <c r="F244" s="289">
        <f>IFERROR(IFERROR(VLOOKUP(B244,'Product Cost - Price'!$C$5:$L$205,10,FALSE),VLOOKUP(B244,'C- Raw Products Costs'!$A$3:$H$72,8,FALSE)),0)</f>
        <v>0.92927749999999998</v>
      </c>
      <c r="H244" s="162"/>
      <c r="I244" s="164">
        <f t="shared" si="10"/>
        <v>0</v>
      </c>
      <c r="J244" s="166">
        <f t="shared" si="11"/>
        <v>0</v>
      </c>
      <c r="L244" s="162">
        <v>1060</v>
      </c>
      <c r="M244" s="165">
        <f t="shared" si="12"/>
        <v>985.03414999999995</v>
      </c>
    </row>
    <row r="245" spans="1:13" ht="24.9" customHeight="1" x14ac:dyDescent="0.3">
      <c r="A245" s="155">
        <v>564082</v>
      </c>
      <c r="B245" s="154" t="s">
        <v>360</v>
      </c>
      <c r="C245" s="154"/>
      <c r="D245" s="160"/>
      <c r="E245" s="160"/>
      <c r="F245" s="289">
        <f>IFERROR(IFERROR(VLOOKUP(B245,'Product Cost - Price'!$C$5:$L$205,10,FALSE),VLOOKUP(B245,'C- Raw Products Costs'!$A$3:$H$72,8,FALSE)),0)</f>
        <v>0.92927749999999998</v>
      </c>
      <c r="H245" s="162"/>
      <c r="I245" s="164">
        <f t="shared" si="10"/>
        <v>0</v>
      </c>
      <c r="J245" s="166">
        <f t="shared" si="11"/>
        <v>0</v>
      </c>
      <c r="L245" s="162"/>
      <c r="M245" s="165">
        <f t="shared" si="12"/>
        <v>0</v>
      </c>
    </row>
    <row r="246" spans="1:13" ht="24.9" customHeight="1" x14ac:dyDescent="0.3">
      <c r="A246" s="155">
        <v>564073</v>
      </c>
      <c r="B246" s="154" t="s">
        <v>352</v>
      </c>
      <c r="C246" s="154"/>
      <c r="D246" s="160" t="s">
        <v>775</v>
      </c>
      <c r="E246" s="160">
        <v>20</v>
      </c>
      <c r="F246" s="289">
        <f>IFERROR(IFERROR(VLOOKUP(B246,'Product Cost - Price'!$C$5:$L$205,10,FALSE),VLOOKUP(B246,'C- Raw Products Costs'!$A$3:$H$72,8,FALSE)),0)</f>
        <v>1.01761225</v>
      </c>
      <c r="H246" s="162"/>
      <c r="I246" s="164">
        <f t="shared" si="10"/>
        <v>0</v>
      </c>
      <c r="J246" s="166">
        <f t="shared" si="11"/>
        <v>0</v>
      </c>
      <c r="L246" s="162">
        <v>1240</v>
      </c>
      <c r="M246" s="165">
        <f t="shared" si="12"/>
        <v>1261.8391899999999</v>
      </c>
    </row>
    <row r="247" spans="1:13" ht="24.9" customHeight="1" x14ac:dyDescent="0.3">
      <c r="A247" s="155">
        <v>565466</v>
      </c>
      <c r="B247" s="154" t="s">
        <v>383</v>
      </c>
      <c r="C247" s="154"/>
      <c r="D247" s="160"/>
      <c r="E247" s="160"/>
      <c r="F247" s="289">
        <f>IFERROR(IFERROR(VLOOKUP(B247,'Product Cost - Price'!$C$5:$L$205,10,FALSE),VLOOKUP(B247,'C- Raw Products Costs'!$A$3:$H$72,8,FALSE)),0)</f>
        <v>0</v>
      </c>
      <c r="H247" s="162"/>
      <c r="I247" s="164">
        <f t="shared" si="10"/>
        <v>0</v>
      </c>
      <c r="J247" s="166">
        <f t="shared" si="11"/>
        <v>0</v>
      </c>
      <c r="L247" s="162"/>
      <c r="M247" s="165">
        <f t="shared" si="12"/>
        <v>0</v>
      </c>
    </row>
    <row r="248" spans="1:13" ht="24.9" customHeight="1" x14ac:dyDescent="0.3">
      <c r="A248" s="155">
        <v>564231</v>
      </c>
      <c r="B248" s="154" t="s">
        <v>118</v>
      </c>
      <c r="C248" s="154"/>
      <c r="D248" s="160"/>
      <c r="E248" s="160"/>
      <c r="F248" s="289">
        <f>IFERROR(IFERROR(VLOOKUP(B248,'Product Cost - Price'!$C$5:$L$205,10,FALSE),VLOOKUP(B248,'C- Raw Products Costs'!$A$3:$H$72,8,FALSE)),0)</f>
        <v>1.427597</v>
      </c>
      <c r="H248" s="162"/>
      <c r="I248" s="164">
        <f t="shared" si="10"/>
        <v>0</v>
      </c>
      <c r="J248" s="166">
        <f t="shared" si="11"/>
        <v>0</v>
      </c>
      <c r="L248" s="162"/>
      <c r="M248" s="165">
        <f t="shared" si="12"/>
        <v>0</v>
      </c>
    </row>
    <row r="249" spans="1:13" ht="24.9" customHeight="1" x14ac:dyDescent="0.3">
      <c r="A249" s="155"/>
      <c r="B249" s="154" t="s">
        <v>38</v>
      </c>
      <c r="C249" s="154"/>
      <c r="D249" s="160" t="s">
        <v>774</v>
      </c>
      <c r="E249" s="160">
        <v>1</v>
      </c>
      <c r="F249" s="289">
        <f>IFERROR(IFERROR(VLOOKUP(B249,'Product Cost - Price'!$C$5:$L$205,10,FALSE),VLOOKUP(B249,'C- Raw Products Costs'!$A$3:$H$72,8,FALSE)),0)</f>
        <v>0.59160000000000001</v>
      </c>
      <c r="H249" s="162">
        <v>40000</v>
      </c>
      <c r="I249" s="164">
        <f t="shared" si="10"/>
        <v>40000</v>
      </c>
      <c r="J249" s="166">
        <f t="shared" si="11"/>
        <v>23664</v>
      </c>
      <c r="L249" s="162">
        <v>40000</v>
      </c>
      <c r="M249" s="165">
        <f t="shared" si="12"/>
        <v>23664</v>
      </c>
    </row>
    <row r="250" spans="1:13" ht="24.9" customHeight="1" x14ac:dyDescent="0.3">
      <c r="A250" s="155">
        <v>383798</v>
      </c>
      <c r="B250" s="154" t="s">
        <v>37</v>
      </c>
      <c r="C250" s="154"/>
      <c r="D250" s="160" t="s">
        <v>775</v>
      </c>
      <c r="E250" s="160">
        <v>20</v>
      </c>
      <c r="F250" s="289">
        <f>IFERROR(IFERROR(VLOOKUP(B250,'Product Cost - Price'!$C$5:$L$205,10,FALSE),VLOOKUP(B250,'C- Raw Products Costs'!$A$3:$H$72,8,FALSE)),0)</f>
        <v>0.59160000000000001</v>
      </c>
      <c r="H250" s="162">
        <v>40</v>
      </c>
      <c r="I250" s="164">
        <f t="shared" si="10"/>
        <v>800</v>
      </c>
      <c r="J250" s="166">
        <f t="shared" si="11"/>
        <v>473.28000000000003</v>
      </c>
      <c r="L250" s="162">
        <v>1960</v>
      </c>
      <c r="M250" s="165">
        <f t="shared" si="12"/>
        <v>1159.5360000000001</v>
      </c>
    </row>
    <row r="251" spans="1:13" ht="24.9" customHeight="1" x14ac:dyDescent="0.3">
      <c r="A251" s="155">
        <v>542627</v>
      </c>
      <c r="B251" s="154" t="s">
        <v>293</v>
      </c>
      <c r="C251" s="154"/>
      <c r="D251" s="160" t="s">
        <v>774</v>
      </c>
      <c r="E251" s="160">
        <v>1</v>
      </c>
      <c r="F251" s="289">
        <f>IFERROR(IFERROR(VLOOKUP(B251,'Product Cost - Price'!$C$5:$L$205,10,FALSE),VLOOKUP(B251,'C- Raw Products Costs'!$A$3:$H$72,8,FALSE)),0)</f>
        <v>0.59160000000000001</v>
      </c>
      <c r="H251" s="162"/>
      <c r="I251" s="164">
        <f t="shared" si="10"/>
        <v>0</v>
      </c>
      <c r="J251" s="166">
        <f t="shared" si="11"/>
        <v>0</v>
      </c>
      <c r="L251" s="162">
        <v>1000</v>
      </c>
      <c r="M251" s="165">
        <f t="shared" si="12"/>
        <v>591.6</v>
      </c>
    </row>
    <row r="252" spans="1:13" ht="24.9" customHeight="1" x14ac:dyDescent="0.3">
      <c r="A252" s="155"/>
      <c r="B252" s="154" t="s">
        <v>122</v>
      </c>
      <c r="C252" s="154"/>
      <c r="D252" s="160" t="s">
        <v>774</v>
      </c>
      <c r="E252" s="160">
        <v>1</v>
      </c>
      <c r="F252" s="289">
        <f>IFERROR(IFERROR(VLOOKUP(B252,'Product Cost - Price'!$C$5:$L$205,10,FALSE),VLOOKUP(B252,'C- Raw Products Costs'!$A$3:$H$72,8,FALSE)),0)</f>
        <v>0.37275000000000003</v>
      </c>
      <c r="H252" s="162">
        <v>39000</v>
      </c>
      <c r="I252" s="164">
        <f t="shared" si="10"/>
        <v>39000</v>
      </c>
      <c r="J252" s="166">
        <f t="shared" si="11"/>
        <v>14537.250000000002</v>
      </c>
      <c r="L252" s="162">
        <v>30000</v>
      </c>
      <c r="M252" s="165">
        <f t="shared" si="12"/>
        <v>11182.5</v>
      </c>
    </row>
    <row r="253" spans="1:13" ht="24.9" customHeight="1" x14ac:dyDescent="0.3">
      <c r="A253" s="155">
        <v>473237</v>
      </c>
      <c r="B253" s="154" t="s">
        <v>76</v>
      </c>
      <c r="C253" s="154"/>
      <c r="D253" s="160" t="s">
        <v>774</v>
      </c>
      <c r="E253" s="160">
        <v>1</v>
      </c>
      <c r="F253" s="289">
        <f>IFERROR(IFERROR(VLOOKUP(B253,'Product Cost - Price'!$C$5:$L$205,10,FALSE),VLOOKUP(B253,'C- Raw Products Costs'!$A$3:$H$72,8,FALSE)),0)</f>
        <v>0.37275000000000003</v>
      </c>
      <c r="H253" s="162">
        <v>11800</v>
      </c>
      <c r="I253" s="164">
        <f t="shared" si="10"/>
        <v>11800</v>
      </c>
      <c r="J253" s="166">
        <f t="shared" si="11"/>
        <v>4398.4500000000007</v>
      </c>
      <c r="L253" s="162">
        <v>2000</v>
      </c>
      <c r="M253" s="165">
        <f t="shared" si="12"/>
        <v>745.5</v>
      </c>
    </row>
    <row r="254" spans="1:13" ht="24.9" customHeight="1" x14ac:dyDescent="0.3">
      <c r="A254" s="155"/>
      <c r="B254" s="154" t="s">
        <v>52</v>
      </c>
      <c r="C254" s="154"/>
      <c r="D254" s="160"/>
      <c r="E254" s="160"/>
      <c r="F254" s="289">
        <f>IFERROR(IFERROR(VLOOKUP(B254,'Product Cost - Price'!$C$5:$L$205,10,FALSE),VLOOKUP(B254,'C- Raw Products Costs'!$A$3:$H$72,8,FALSE)),0)</f>
        <v>0</v>
      </c>
      <c r="H254" s="162"/>
      <c r="I254" s="164">
        <f t="shared" si="10"/>
        <v>0</v>
      </c>
      <c r="J254" s="166">
        <f t="shared" si="11"/>
        <v>0</v>
      </c>
      <c r="L254" s="162"/>
      <c r="M254" s="165">
        <f t="shared" si="12"/>
        <v>0</v>
      </c>
    </row>
    <row r="255" spans="1:13" ht="24.9" customHeight="1" x14ac:dyDescent="0.3">
      <c r="A255" s="155"/>
      <c r="B255" s="154" t="s">
        <v>163</v>
      </c>
      <c r="C255" s="154"/>
      <c r="D255" s="160" t="s">
        <v>774</v>
      </c>
      <c r="E255" s="160">
        <v>1</v>
      </c>
      <c r="F255" s="289">
        <f>IFERROR(IFERROR(VLOOKUP(B255,'Product Cost - Price'!$C$5:$L$205,10,FALSE),VLOOKUP(B255,'C- Raw Products Costs'!$A$3:$H$72,8,FALSE)),0)</f>
        <v>1.05</v>
      </c>
      <c r="H255" s="162">
        <v>1000</v>
      </c>
      <c r="I255" s="164">
        <f t="shared" si="10"/>
        <v>1000</v>
      </c>
      <c r="J255" s="166">
        <f t="shared" si="11"/>
        <v>1050</v>
      </c>
      <c r="L255" s="162">
        <v>1000</v>
      </c>
      <c r="M255" s="165">
        <f t="shared" si="12"/>
        <v>1050</v>
      </c>
    </row>
    <row r="256" spans="1:13" ht="24.9" customHeight="1" x14ac:dyDescent="0.3">
      <c r="A256" s="155">
        <v>383800</v>
      </c>
      <c r="B256" s="154" t="s">
        <v>162</v>
      </c>
      <c r="C256" s="154"/>
      <c r="D256" s="160" t="s">
        <v>775</v>
      </c>
      <c r="E256" s="160">
        <v>20</v>
      </c>
      <c r="F256" s="289">
        <f>IFERROR(IFERROR(VLOOKUP(B256,'Product Cost - Price'!$C$5:$L$205,10,FALSE),VLOOKUP(B256,'C- Raw Products Costs'!$A$3:$H$72,8,FALSE)),0)</f>
        <v>1.05</v>
      </c>
      <c r="H256" s="162">
        <v>14</v>
      </c>
      <c r="I256" s="164">
        <f t="shared" si="10"/>
        <v>280</v>
      </c>
      <c r="J256" s="166">
        <f t="shared" si="11"/>
        <v>294</v>
      </c>
      <c r="L256" s="162">
        <v>440</v>
      </c>
      <c r="M256" s="165">
        <f t="shared" si="12"/>
        <v>462</v>
      </c>
    </row>
    <row r="257" spans="1:13" ht="24.9" customHeight="1" x14ac:dyDescent="0.3">
      <c r="A257" s="155">
        <v>441361</v>
      </c>
      <c r="B257" s="154" t="s">
        <v>210</v>
      </c>
      <c r="C257" s="154"/>
      <c r="D257" s="160"/>
      <c r="E257" s="160"/>
      <c r="F257" s="289">
        <f>IFERROR(IFERROR(VLOOKUP(B257,'Product Cost - Price'!$C$5:$L$205,10,FALSE),VLOOKUP(B257,'C- Raw Products Costs'!$A$3:$H$72,8,FALSE)),0)</f>
        <v>0</v>
      </c>
      <c r="H257" s="162"/>
      <c r="I257" s="164">
        <f t="shared" si="10"/>
        <v>0</v>
      </c>
      <c r="J257" s="166">
        <f t="shared" si="11"/>
        <v>0</v>
      </c>
      <c r="L257" s="162"/>
      <c r="M257" s="165">
        <f t="shared" si="12"/>
        <v>0</v>
      </c>
    </row>
    <row r="258" spans="1:13" ht="24.9" customHeight="1" x14ac:dyDescent="0.3">
      <c r="A258" s="155">
        <v>403985</v>
      </c>
      <c r="B258" s="154" t="s">
        <v>203</v>
      </c>
      <c r="C258" s="154"/>
      <c r="D258" s="160"/>
      <c r="E258" s="160"/>
      <c r="F258" s="289">
        <f>IFERROR(IFERROR(VLOOKUP(B258,'Product Cost - Price'!$C$5:$L$205,10,FALSE),VLOOKUP(B258,'C- Raw Products Costs'!$A$3:$H$72,8,FALSE)),0)</f>
        <v>0</v>
      </c>
      <c r="H258" s="162"/>
      <c r="I258" s="164">
        <f t="shared" si="10"/>
        <v>0</v>
      </c>
      <c r="J258" s="166">
        <f t="shared" si="11"/>
        <v>0</v>
      </c>
      <c r="L258" s="162"/>
      <c r="M258" s="165">
        <f t="shared" si="12"/>
        <v>0</v>
      </c>
    </row>
    <row r="259" spans="1:13" ht="24.9" customHeight="1" x14ac:dyDescent="0.3">
      <c r="A259" s="155">
        <v>520015</v>
      </c>
      <c r="B259" s="154" t="s">
        <v>269</v>
      </c>
      <c r="C259" s="154"/>
      <c r="D259" s="160" t="s">
        <v>775</v>
      </c>
      <c r="E259" s="160">
        <v>20</v>
      </c>
      <c r="F259" s="289">
        <f>IFERROR(IFERROR(VLOOKUP(B259,'Product Cost - Price'!$C$5:$L$205,10,FALSE),VLOOKUP(B259,'C- Raw Products Costs'!$A$3:$H$72,8,FALSE)),0)</f>
        <v>0.77700000000000002</v>
      </c>
      <c r="H259" s="162">
        <v>30</v>
      </c>
      <c r="I259" s="164">
        <f t="shared" ref="I259:I271" si="13">E259*H259</f>
        <v>600</v>
      </c>
      <c r="J259" s="166">
        <f t="shared" ref="J259:J271" si="14">I259*F259</f>
        <v>466.2</v>
      </c>
      <c r="L259" s="162">
        <v>1160</v>
      </c>
      <c r="M259" s="165">
        <f t="shared" si="12"/>
        <v>901.32</v>
      </c>
    </row>
    <row r="260" spans="1:13" ht="24.9" customHeight="1" x14ac:dyDescent="0.3">
      <c r="A260" s="155">
        <v>543028</v>
      </c>
      <c r="B260" s="154" t="s">
        <v>297</v>
      </c>
      <c r="C260" s="154"/>
      <c r="D260" s="160"/>
      <c r="E260" s="160"/>
      <c r="F260" s="289">
        <f>IFERROR(IFERROR(VLOOKUP(B260,'Product Cost - Price'!$C$5:$L$205,10,FALSE),VLOOKUP(B260,'C- Raw Products Costs'!$A$3:$H$72,8,FALSE)),0)</f>
        <v>0.77700000000000002</v>
      </c>
      <c r="H260" s="162"/>
      <c r="I260" s="164">
        <f t="shared" si="13"/>
        <v>0</v>
      </c>
      <c r="J260" s="166">
        <f t="shared" si="14"/>
        <v>0</v>
      </c>
      <c r="L260" s="162"/>
      <c r="M260" s="165">
        <f t="shared" si="12"/>
        <v>0</v>
      </c>
    </row>
    <row r="261" spans="1:13" ht="24.9" customHeight="1" x14ac:dyDescent="0.3">
      <c r="A261" s="155">
        <v>373023</v>
      </c>
      <c r="B261" s="154" t="s">
        <v>124</v>
      </c>
      <c r="C261" s="154"/>
      <c r="D261" s="160" t="s">
        <v>775</v>
      </c>
      <c r="E261" s="160">
        <v>20</v>
      </c>
      <c r="F261" s="289">
        <f>IFERROR(IFERROR(VLOOKUP(B261,'Product Cost - Price'!$C$5:$L$205,10,FALSE),VLOOKUP(B261,'C- Raw Products Costs'!$A$3:$H$72,8,FALSE)),0)</f>
        <v>0.504</v>
      </c>
      <c r="H261" s="162">
        <v>212</v>
      </c>
      <c r="I261" s="164">
        <f t="shared" si="13"/>
        <v>4240</v>
      </c>
      <c r="J261" s="166">
        <f t="shared" si="14"/>
        <v>2136.96</v>
      </c>
      <c r="L261" s="162">
        <v>4100</v>
      </c>
      <c r="M261" s="165">
        <f t="shared" si="12"/>
        <v>2066.4</v>
      </c>
    </row>
    <row r="262" spans="1:13" ht="24.9" customHeight="1" x14ac:dyDescent="0.3">
      <c r="A262" s="155">
        <v>373022</v>
      </c>
      <c r="B262" s="154" t="s">
        <v>121</v>
      </c>
      <c r="C262" s="154"/>
      <c r="D262" s="160" t="s">
        <v>775</v>
      </c>
      <c r="E262" s="160">
        <v>20</v>
      </c>
      <c r="F262" s="289">
        <f>IFERROR(IFERROR(VLOOKUP(B262,'Product Cost - Price'!$C$5:$L$205,10,FALSE),VLOOKUP(B262,'C- Raw Products Costs'!$A$3:$H$72,8,FALSE)),0)</f>
        <v>0.37275000000000003</v>
      </c>
      <c r="H262" s="162">
        <v>364</v>
      </c>
      <c r="I262" s="164">
        <f t="shared" si="13"/>
        <v>7280</v>
      </c>
      <c r="J262" s="166">
        <f t="shared" si="14"/>
        <v>2713.6200000000003</v>
      </c>
      <c r="L262" s="162">
        <v>6180</v>
      </c>
      <c r="M262" s="165">
        <f t="shared" si="12"/>
        <v>2303.5950000000003</v>
      </c>
    </row>
    <row r="263" spans="1:13" ht="24.9" customHeight="1" x14ac:dyDescent="0.3">
      <c r="A263" s="155">
        <v>383814</v>
      </c>
      <c r="B263" s="154" t="s">
        <v>194</v>
      </c>
      <c r="C263" s="154"/>
      <c r="D263" s="160" t="s">
        <v>775</v>
      </c>
      <c r="E263" s="160">
        <v>20</v>
      </c>
      <c r="F263" s="289">
        <f>IFERROR(IFERROR(VLOOKUP(B263,'Product Cost - Price'!$C$5:$L$205,10,FALSE),VLOOKUP(B263,'C- Raw Products Costs'!$A$3:$H$72,8,FALSE)),0)</f>
        <v>0.33145882352941175</v>
      </c>
      <c r="H263" s="162">
        <v>296</v>
      </c>
      <c r="I263" s="164">
        <f t="shared" si="13"/>
        <v>5920</v>
      </c>
      <c r="J263" s="166">
        <f t="shared" si="14"/>
        <v>1962.2362352941175</v>
      </c>
      <c r="L263" s="162">
        <v>2820</v>
      </c>
      <c r="M263" s="165">
        <f t="shared" si="12"/>
        <v>934.71388235294114</v>
      </c>
    </row>
    <row r="264" spans="1:13" ht="24.9" customHeight="1" x14ac:dyDescent="0.3">
      <c r="A264" s="155">
        <v>546517</v>
      </c>
      <c r="B264" s="154" t="s">
        <v>304</v>
      </c>
      <c r="C264" s="154"/>
      <c r="D264" s="160" t="s">
        <v>775</v>
      </c>
      <c r="E264" s="160">
        <v>20</v>
      </c>
      <c r="F264" s="289">
        <f>IFERROR(IFERROR(VLOOKUP(B264,'Product Cost - Price'!$C$5:$L$205,10,FALSE),VLOOKUP(B264,'C- Raw Products Costs'!$A$3:$H$72,8,FALSE)),0)</f>
        <v>0.60057466216216204</v>
      </c>
      <c r="H264" s="162">
        <v>45</v>
      </c>
      <c r="I264" s="164">
        <f t="shared" si="13"/>
        <v>900</v>
      </c>
      <c r="J264" s="166">
        <f t="shared" si="14"/>
        <v>540.51719594594579</v>
      </c>
      <c r="L264" s="162">
        <v>1040</v>
      </c>
      <c r="M264" s="165">
        <f t="shared" si="12"/>
        <v>624.59764864864849</v>
      </c>
    </row>
    <row r="265" spans="1:13" ht="24.9" customHeight="1" x14ac:dyDescent="0.3">
      <c r="A265" s="155">
        <v>540815</v>
      </c>
      <c r="B265" s="154" t="s">
        <v>276</v>
      </c>
      <c r="C265" s="154"/>
      <c r="D265" s="160"/>
      <c r="E265" s="160"/>
      <c r="F265" s="289">
        <f>IFERROR(IFERROR(VLOOKUP(B265,'Product Cost - Price'!$C$5:$L$205,10,FALSE),VLOOKUP(B265,'C- Raw Products Costs'!$A$3:$H$72,8,FALSE)),0)</f>
        <v>0.60057466216216204</v>
      </c>
      <c r="H265" s="162"/>
      <c r="I265" s="164">
        <f t="shared" si="13"/>
        <v>0</v>
      </c>
      <c r="J265" s="166">
        <f t="shared" si="14"/>
        <v>0</v>
      </c>
      <c r="L265" s="162"/>
      <c r="M265" s="165">
        <f t="shared" si="12"/>
        <v>0</v>
      </c>
    </row>
    <row r="266" spans="1:13" ht="24.9" customHeight="1" x14ac:dyDescent="0.3">
      <c r="A266" s="155"/>
      <c r="B266" s="154" t="s">
        <v>128</v>
      </c>
      <c r="C266" s="154"/>
      <c r="D266" s="160"/>
      <c r="E266" s="160"/>
      <c r="F266" s="289">
        <f>IFERROR(IFERROR(VLOOKUP(B266,'Product Cost - Price'!$C$5:$L$205,10,FALSE),VLOOKUP(B266,'C- Raw Products Costs'!$A$3:$H$72,8,FALSE)),0)</f>
        <v>0.43680000000000002</v>
      </c>
      <c r="H266" s="162"/>
      <c r="I266" s="164">
        <f t="shared" si="13"/>
        <v>0</v>
      </c>
      <c r="J266" s="166">
        <f t="shared" si="14"/>
        <v>0</v>
      </c>
      <c r="L266" s="162"/>
      <c r="M266" s="165">
        <f t="shared" si="12"/>
        <v>0</v>
      </c>
    </row>
    <row r="267" spans="1:13" ht="24.9" customHeight="1" x14ac:dyDescent="0.3">
      <c r="A267" s="155">
        <v>380860</v>
      </c>
      <c r="B267" s="154" t="s">
        <v>127</v>
      </c>
      <c r="C267" s="154"/>
      <c r="D267" s="160"/>
      <c r="E267" s="160"/>
      <c r="F267" s="289">
        <f>IFERROR(IFERROR(VLOOKUP(B267,'Product Cost - Price'!$C$5:$L$205,10,FALSE),VLOOKUP(B267,'C- Raw Products Costs'!$A$3:$H$72,8,FALSE)),0)</f>
        <v>0.43680000000000002</v>
      </c>
      <c r="H267" s="162"/>
      <c r="I267" s="164">
        <f t="shared" si="13"/>
        <v>0</v>
      </c>
      <c r="J267" s="166">
        <f t="shared" si="14"/>
        <v>0</v>
      </c>
      <c r="L267" s="162"/>
      <c r="M267" s="165">
        <f t="shared" si="12"/>
        <v>0</v>
      </c>
    </row>
    <row r="268" spans="1:13" ht="24.9" customHeight="1" x14ac:dyDescent="0.3">
      <c r="A268" s="155">
        <v>394591</v>
      </c>
      <c r="B268" s="154" t="s">
        <v>199</v>
      </c>
      <c r="C268" s="154"/>
      <c r="D268" s="160"/>
      <c r="E268" s="160"/>
      <c r="F268" s="289">
        <f>IFERROR(IFERROR(VLOOKUP(B268,'Product Cost - Price'!$C$5:$L$205,10,FALSE),VLOOKUP(B268,'C- Raw Products Costs'!$A$3:$H$72,8,FALSE)),0)</f>
        <v>0.43680000000000002</v>
      </c>
      <c r="H268" s="162"/>
      <c r="I268" s="164">
        <f t="shared" si="13"/>
        <v>0</v>
      </c>
      <c r="J268" s="166">
        <f t="shared" si="14"/>
        <v>0</v>
      </c>
      <c r="L268" s="162"/>
      <c r="M268" s="165">
        <f t="shared" si="12"/>
        <v>0</v>
      </c>
    </row>
    <row r="269" spans="1:13" ht="24.9" customHeight="1" x14ac:dyDescent="0.3">
      <c r="A269" s="155">
        <v>403984</v>
      </c>
      <c r="B269" s="154" t="s">
        <v>201</v>
      </c>
      <c r="C269" s="154"/>
      <c r="D269" s="160"/>
      <c r="E269" s="160"/>
      <c r="F269" s="289">
        <f>IFERROR(IFERROR(VLOOKUP(B269,'Product Cost - Price'!$C$5:$L$205,10,FALSE),VLOOKUP(B269,'C- Raw Products Costs'!$A$3:$H$72,8,FALSE)),0)</f>
        <v>0</v>
      </c>
      <c r="H269" s="162"/>
      <c r="I269" s="164">
        <f t="shared" si="13"/>
        <v>0</v>
      </c>
      <c r="J269" s="166">
        <f t="shared" si="14"/>
        <v>0</v>
      </c>
      <c r="L269" s="162"/>
      <c r="M269" s="165">
        <f t="shared" si="12"/>
        <v>0</v>
      </c>
    </row>
    <row r="270" spans="1:13" ht="24.9" customHeight="1" x14ac:dyDescent="0.3">
      <c r="A270" s="155">
        <v>496354</v>
      </c>
      <c r="B270" s="154" t="s">
        <v>228</v>
      </c>
      <c r="C270" s="154"/>
      <c r="D270" s="160"/>
      <c r="E270" s="160"/>
      <c r="F270" s="289">
        <f>IFERROR(IFERROR(VLOOKUP(B270,'Product Cost - Price'!$C$5:$L$205,10,FALSE),VLOOKUP(B270,'C- Raw Products Costs'!$A$3:$H$72,8,FALSE)),0)</f>
        <v>0</v>
      </c>
      <c r="H270" s="162"/>
      <c r="I270" s="164">
        <f t="shared" si="13"/>
        <v>0</v>
      </c>
      <c r="J270" s="166">
        <f t="shared" si="14"/>
        <v>0</v>
      </c>
      <c r="L270" s="162"/>
      <c r="M270" s="165">
        <f t="shared" si="12"/>
        <v>0</v>
      </c>
    </row>
    <row r="271" spans="1:13" ht="24.9" customHeight="1" x14ac:dyDescent="0.3">
      <c r="A271" s="155">
        <v>517313</v>
      </c>
      <c r="B271" s="154" t="s">
        <v>267</v>
      </c>
      <c r="C271" s="154"/>
      <c r="D271" s="160" t="s">
        <v>775</v>
      </c>
      <c r="E271" s="160">
        <v>20</v>
      </c>
      <c r="F271" s="289">
        <f>IFERROR(IFERROR(VLOOKUP(B271,'Product Cost - Price'!$C$5:$L$205,10,FALSE),VLOOKUP(B271,'C- Raw Products Costs'!$A$3:$H$72,8,FALSE)),0)</f>
        <v>1.1339999999999999</v>
      </c>
      <c r="H271" s="162">
        <v>28</v>
      </c>
      <c r="I271" s="164">
        <f t="shared" si="13"/>
        <v>560</v>
      </c>
      <c r="J271" s="166">
        <f t="shared" si="14"/>
        <v>635.04</v>
      </c>
      <c r="L271" s="162"/>
      <c r="M271" s="165">
        <f t="shared" si="12"/>
        <v>0</v>
      </c>
    </row>
    <row r="272" spans="1:13" ht="24.9" customHeight="1" x14ac:dyDescent="0.3">
      <c r="A272" s="189"/>
      <c r="B272" s="190"/>
      <c r="C272" s="190"/>
      <c r="D272" s="189"/>
      <c r="E272" s="189"/>
      <c r="F272" s="24"/>
      <c r="H272" s="191"/>
      <c r="I272" s="191"/>
      <c r="J272" s="192"/>
      <c r="L272" s="191"/>
      <c r="M272" s="193"/>
    </row>
    <row r="273" spans="1:17" x14ac:dyDescent="0.3">
      <c r="J273" s="167">
        <f>SUM(J3:J271)</f>
        <v>397191.02662499441</v>
      </c>
      <c r="M273" s="167">
        <f>SUM(M3:M271)</f>
        <v>396176.92184952472</v>
      </c>
    </row>
    <row r="276" spans="1:17" x14ac:dyDescent="0.3">
      <c r="A276" s="72"/>
      <c r="L276" s="72"/>
      <c r="M276" s="72"/>
    </row>
    <row r="277" spans="1:17" x14ac:dyDescent="0.3">
      <c r="A277" s="72"/>
      <c r="C277" s="72"/>
      <c r="D277" s="72"/>
      <c r="E277" s="72"/>
      <c r="F277" s="72"/>
      <c r="H277" s="72"/>
      <c r="I277" s="72"/>
      <c r="J277" s="72"/>
      <c r="L277" s="72"/>
      <c r="M277" s="72"/>
      <c r="N277" s="72"/>
      <c r="O277" s="72"/>
    </row>
    <row r="278" spans="1:17" x14ac:dyDescent="0.3">
      <c r="A278" s="72"/>
      <c r="C278" s="72"/>
      <c r="D278" s="72"/>
      <c r="E278" s="72"/>
      <c r="F278" s="72"/>
      <c r="H278" s="72"/>
      <c r="I278" s="72"/>
      <c r="J278" s="72"/>
      <c r="L278" s="72"/>
      <c r="M278" s="72"/>
      <c r="N278" s="72"/>
      <c r="O278" s="72"/>
    </row>
    <row r="279" spans="1:17" x14ac:dyDescent="0.3">
      <c r="A279" s="72"/>
      <c r="C279" s="72"/>
      <c r="D279" s="72"/>
      <c r="E279" s="72"/>
      <c r="F279" s="72"/>
      <c r="H279" s="72"/>
      <c r="I279" s="72"/>
      <c r="J279" s="72"/>
      <c r="L279" s="72"/>
      <c r="M279" s="72"/>
      <c r="N279" s="72"/>
      <c r="O279" s="72"/>
    </row>
    <row r="280" spans="1:17" ht="15.6" x14ac:dyDescent="0.3">
      <c r="A280" s="157">
        <v>520785</v>
      </c>
      <c r="B280" s="156" t="s">
        <v>95</v>
      </c>
      <c r="C280" s="156"/>
      <c r="D280" s="161"/>
      <c r="E280" s="161"/>
      <c r="F280" s="289">
        <f>IFERROR(IFERROR(VLOOKUP(B280,'Product Cost - Price'!$C$5:$L$205,11,FALSE),VLOOKUP(B280,'C- Raw Products Costs'!$A$3:$H$72,8,FALSE)),0)</f>
        <v>0</v>
      </c>
      <c r="H280" s="163"/>
      <c r="I280" s="164">
        <f t="shared" ref="I280:I307" si="15">E280*H280</f>
        <v>0</v>
      </c>
      <c r="J280" s="166">
        <f t="shared" ref="J280:J307" si="16">I280*F280</f>
        <v>0</v>
      </c>
      <c r="L280" s="163"/>
      <c r="M280" s="165">
        <f t="shared" ref="M280:M307" si="17">L280*F280</f>
        <v>0</v>
      </c>
    </row>
    <row r="281" spans="1:17" ht="15.6" x14ac:dyDescent="0.3">
      <c r="A281" s="157">
        <v>556427</v>
      </c>
      <c r="B281" s="156" t="s">
        <v>112</v>
      </c>
      <c r="C281" s="156"/>
      <c r="D281" s="161"/>
      <c r="E281" s="161"/>
      <c r="F281" s="289">
        <f>IFERROR(IFERROR(VLOOKUP(B281,'Product Cost - Price'!$C$5:$L$205,11,FALSE),VLOOKUP(B281,'C- Raw Products Costs'!$A$3:$H$72,8,FALSE)),0)</f>
        <v>0</v>
      </c>
      <c r="H281" s="163"/>
      <c r="I281" s="164">
        <f t="shared" si="15"/>
        <v>0</v>
      </c>
      <c r="J281" s="166">
        <f t="shared" si="16"/>
        <v>0</v>
      </c>
      <c r="L281" s="163"/>
      <c r="M281" s="165">
        <f t="shared" si="17"/>
        <v>0</v>
      </c>
      <c r="P281" s="6"/>
    </row>
    <row r="282" spans="1:17" ht="15.6" x14ac:dyDescent="0.3">
      <c r="A282" s="157">
        <v>380866</v>
      </c>
      <c r="B282" s="156" t="s">
        <v>24</v>
      </c>
      <c r="C282" s="156"/>
      <c r="D282" s="161"/>
      <c r="E282" s="161"/>
      <c r="F282" s="289">
        <f>IFERROR(IFERROR(VLOOKUP(B282,'Product Cost - Price'!$C$5:$L$205,11,FALSE),VLOOKUP(B282,'C- Raw Products Costs'!$A$3:$H$72,8,FALSE)),0)</f>
        <v>0</v>
      </c>
      <c r="H282" s="163"/>
      <c r="I282" s="164">
        <f t="shared" si="15"/>
        <v>0</v>
      </c>
      <c r="J282" s="166">
        <f t="shared" si="16"/>
        <v>0</v>
      </c>
      <c r="L282" s="163"/>
      <c r="M282" s="165">
        <f t="shared" si="17"/>
        <v>0</v>
      </c>
      <c r="P282" s="194"/>
      <c r="Q282" s="59"/>
    </row>
    <row r="283" spans="1:17" ht="15.6" x14ac:dyDescent="0.3">
      <c r="A283" s="157">
        <v>383818</v>
      </c>
      <c r="B283" s="156" t="s">
        <v>54</v>
      </c>
      <c r="C283" s="156"/>
      <c r="D283" s="161"/>
      <c r="E283" s="161"/>
      <c r="F283" s="289">
        <f>IFERROR(IFERROR(VLOOKUP(B283,'Product Cost - Price'!$C$5:$L$205,11,FALSE),VLOOKUP(B283,'C- Raw Products Costs'!$A$3:$H$72,8,FALSE)),0)</f>
        <v>0</v>
      </c>
      <c r="H283" s="163"/>
      <c r="I283" s="164">
        <f t="shared" si="15"/>
        <v>0</v>
      </c>
      <c r="J283" s="166">
        <f t="shared" si="16"/>
        <v>0</v>
      </c>
      <c r="L283" s="163"/>
      <c r="M283" s="165">
        <f t="shared" si="17"/>
        <v>0</v>
      </c>
      <c r="P283" s="6"/>
    </row>
    <row r="284" spans="1:17" ht="16.5" customHeight="1" x14ac:dyDescent="0.3">
      <c r="A284" s="157">
        <v>546678</v>
      </c>
      <c r="B284" s="156" t="s">
        <v>102</v>
      </c>
      <c r="C284" s="156"/>
      <c r="D284" s="161"/>
      <c r="E284" s="161"/>
      <c r="F284" s="289">
        <f>IFERROR(IFERROR(VLOOKUP(B284,'Product Cost - Price'!$C$5:$L$205,11,FALSE),VLOOKUP(B284,'C- Raw Products Costs'!$A$3:$H$72,8,FALSE)),0)</f>
        <v>0</v>
      </c>
      <c r="H284" s="163"/>
      <c r="I284" s="164">
        <f t="shared" si="15"/>
        <v>0</v>
      </c>
      <c r="J284" s="166">
        <f t="shared" si="16"/>
        <v>0</v>
      </c>
      <c r="L284" s="163"/>
      <c r="M284" s="165">
        <f t="shared" si="17"/>
        <v>0</v>
      </c>
    </row>
    <row r="285" spans="1:17" ht="15.6" x14ac:dyDescent="0.3">
      <c r="A285" s="157">
        <v>554984</v>
      </c>
      <c r="B285" s="156" t="s">
        <v>109</v>
      </c>
      <c r="C285" s="156"/>
      <c r="D285" s="161"/>
      <c r="E285" s="161"/>
      <c r="F285" s="289">
        <f>IFERROR(IFERROR(VLOOKUP(B285,'Product Cost - Price'!$C$5:$L$205,11,FALSE),VLOOKUP(B285,'C- Raw Products Costs'!$A$3:$H$72,8,FALSE)),0)</f>
        <v>0</v>
      </c>
      <c r="H285" s="163"/>
      <c r="I285" s="164">
        <f t="shared" si="15"/>
        <v>0</v>
      </c>
      <c r="J285" s="166">
        <f t="shared" si="16"/>
        <v>0</v>
      </c>
      <c r="L285" s="163"/>
      <c r="M285" s="165">
        <f t="shared" si="17"/>
        <v>0</v>
      </c>
    </row>
    <row r="286" spans="1:17" ht="15.6" x14ac:dyDescent="0.3">
      <c r="A286" s="157">
        <v>503836</v>
      </c>
      <c r="B286" s="156" t="s">
        <v>90</v>
      </c>
      <c r="C286" s="156"/>
      <c r="D286" s="161"/>
      <c r="E286" s="161"/>
      <c r="F286" s="289">
        <f>IFERROR(IFERROR(VLOOKUP(B286,'Product Cost - Price'!$C$5:$L$205,11,FALSE),VLOOKUP(B286,'C- Raw Products Costs'!$A$3:$H$72,8,FALSE)),0)</f>
        <v>0</v>
      </c>
      <c r="H286" s="163"/>
      <c r="I286" s="164">
        <f t="shared" si="15"/>
        <v>0</v>
      </c>
      <c r="J286" s="166">
        <f t="shared" si="16"/>
        <v>0</v>
      </c>
      <c r="L286" s="163"/>
      <c r="M286" s="165">
        <f t="shared" si="17"/>
        <v>0</v>
      </c>
    </row>
    <row r="287" spans="1:17" ht="15.6" x14ac:dyDescent="0.3">
      <c r="A287" s="157">
        <v>555692</v>
      </c>
      <c r="B287" s="156" t="s">
        <v>111</v>
      </c>
      <c r="C287" s="156"/>
      <c r="D287" s="161"/>
      <c r="E287" s="161"/>
      <c r="F287" s="289">
        <f>IFERROR(IFERROR(VLOOKUP(B287,'Product Cost - Price'!$C$5:$L$205,11,FALSE),VLOOKUP(B287,'C- Raw Products Costs'!$A$3:$H$72,8,FALSE)),0)</f>
        <v>0</v>
      </c>
      <c r="H287" s="163"/>
      <c r="I287" s="164">
        <f t="shared" si="15"/>
        <v>0</v>
      </c>
      <c r="J287" s="166">
        <f t="shared" si="16"/>
        <v>0</v>
      </c>
      <c r="L287" s="163"/>
      <c r="M287" s="165">
        <f t="shared" si="17"/>
        <v>0</v>
      </c>
    </row>
    <row r="288" spans="1:17" ht="15.6" x14ac:dyDescent="0.3">
      <c r="A288" s="157">
        <v>391639</v>
      </c>
      <c r="B288" s="156" t="s">
        <v>56</v>
      </c>
      <c r="C288" s="156"/>
      <c r="D288" s="161"/>
      <c r="E288" s="161"/>
      <c r="F288" s="289">
        <f>IFERROR(IFERROR(VLOOKUP(B288,'Product Cost - Price'!$C$5:$L$205,11,FALSE),VLOOKUP(B288,'C- Raw Products Costs'!$A$3:$H$72,8,FALSE)),0)</f>
        <v>0</v>
      </c>
      <c r="H288" s="163"/>
      <c r="I288" s="164">
        <f t="shared" si="15"/>
        <v>0</v>
      </c>
      <c r="J288" s="166">
        <f t="shared" si="16"/>
        <v>0</v>
      </c>
      <c r="L288" s="163"/>
      <c r="M288" s="165">
        <f t="shared" si="17"/>
        <v>0</v>
      </c>
    </row>
    <row r="289" spans="1:13" ht="15.6" x14ac:dyDescent="0.3">
      <c r="A289" s="157">
        <v>409027</v>
      </c>
      <c r="B289" s="156" t="s">
        <v>208</v>
      </c>
      <c r="C289" s="156"/>
      <c r="D289" s="161"/>
      <c r="E289" s="161"/>
      <c r="F289" s="289">
        <f>IFERROR(IFERROR(VLOOKUP(B289,'Product Cost - Price'!$C$5:$L$205,11,FALSE),VLOOKUP(B289,'C- Raw Products Costs'!$A$3:$H$72,8,FALSE)),0)</f>
        <v>0</v>
      </c>
      <c r="H289" s="163"/>
      <c r="I289" s="164">
        <f t="shared" si="15"/>
        <v>0</v>
      </c>
      <c r="J289" s="166">
        <f t="shared" si="16"/>
        <v>0</v>
      </c>
      <c r="L289" s="163"/>
      <c r="M289" s="165">
        <f t="shared" si="17"/>
        <v>0</v>
      </c>
    </row>
    <row r="290" spans="1:13" ht="15.6" x14ac:dyDescent="0.3">
      <c r="A290" s="157">
        <v>455323</v>
      </c>
      <c r="B290" s="156" t="s">
        <v>71</v>
      </c>
      <c r="C290" s="156"/>
      <c r="D290" s="161"/>
      <c r="E290" s="161"/>
      <c r="F290" s="289">
        <f>IFERROR(IFERROR(VLOOKUP(B290,'Product Cost - Price'!$C$5:$L$205,11,FALSE),VLOOKUP(B290,'C- Raw Products Costs'!$A$3:$H$72,8,FALSE)),0)</f>
        <v>0</v>
      </c>
      <c r="H290" s="163"/>
      <c r="I290" s="164">
        <f t="shared" si="15"/>
        <v>0</v>
      </c>
      <c r="J290" s="166">
        <f t="shared" si="16"/>
        <v>0</v>
      </c>
      <c r="L290" s="163"/>
      <c r="M290" s="165">
        <f t="shared" si="17"/>
        <v>0</v>
      </c>
    </row>
    <row r="291" spans="1:13" ht="15.6" x14ac:dyDescent="0.3">
      <c r="A291" s="157">
        <v>561303</v>
      </c>
      <c r="B291" s="156" t="s">
        <v>114</v>
      </c>
      <c r="C291" s="156"/>
      <c r="D291" s="161"/>
      <c r="E291" s="161"/>
      <c r="F291" s="289">
        <f>IFERROR(IFERROR(VLOOKUP(B291,'Product Cost - Price'!$C$5:$L$205,11,FALSE),VLOOKUP(B291,'C- Raw Products Costs'!$A$3:$H$72,8,FALSE)),0)</f>
        <v>0</v>
      </c>
      <c r="H291" s="163"/>
      <c r="I291" s="164">
        <f t="shared" si="15"/>
        <v>0</v>
      </c>
      <c r="J291" s="166">
        <f t="shared" si="16"/>
        <v>0</v>
      </c>
      <c r="L291" s="163"/>
      <c r="M291" s="165">
        <f t="shared" si="17"/>
        <v>0</v>
      </c>
    </row>
    <row r="292" spans="1:13" ht="15.6" x14ac:dyDescent="0.3">
      <c r="A292" s="157">
        <v>520784</v>
      </c>
      <c r="B292" s="156" t="s">
        <v>92</v>
      </c>
      <c r="C292" s="156"/>
      <c r="D292" s="161"/>
      <c r="E292" s="161"/>
      <c r="F292" s="289">
        <f>IFERROR(IFERROR(VLOOKUP(B292,'Product Cost - Price'!$C$5:$L$205,11,FALSE),VLOOKUP(B292,'C- Raw Products Costs'!$A$3:$H$72,8,FALSE)),0)</f>
        <v>0</v>
      </c>
      <c r="H292" s="163"/>
      <c r="I292" s="164">
        <f t="shared" si="15"/>
        <v>0</v>
      </c>
      <c r="J292" s="166">
        <f t="shared" si="16"/>
        <v>0</v>
      </c>
      <c r="L292" s="163"/>
      <c r="M292" s="165">
        <f t="shared" si="17"/>
        <v>0</v>
      </c>
    </row>
    <row r="293" spans="1:13" ht="15.6" x14ac:dyDescent="0.3">
      <c r="A293" s="157">
        <v>547329</v>
      </c>
      <c r="B293" s="156" t="s">
        <v>104</v>
      </c>
      <c r="C293" s="156"/>
      <c r="D293" s="161"/>
      <c r="E293" s="161"/>
      <c r="F293" s="289">
        <f>IFERROR(IFERROR(VLOOKUP(B293,'Product Cost - Price'!$C$5:$L$205,11,FALSE),VLOOKUP(B293,'C- Raw Products Costs'!$A$3:$H$72,8,FALSE)),0)</f>
        <v>0</v>
      </c>
      <c r="H293" s="163"/>
      <c r="I293" s="164">
        <f t="shared" si="15"/>
        <v>0</v>
      </c>
      <c r="J293" s="166">
        <f t="shared" si="16"/>
        <v>0</v>
      </c>
      <c r="L293" s="163"/>
      <c r="M293" s="165">
        <f t="shared" si="17"/>
        <v>0</v>
      </c>
    </row>
    <row r="294" spans="1:13" ht="15.6" x14ac:dyDescent="0.3">
      <c r="A294" s="157">
        <v>380865</v>
      </c>
      <c r="B294" s="156" t="s">
        <v>19</v>
      </c>
      <c r="C294" s="156"/>
      <c r="D294" s="161"/>
      <c r="E294" s="161"/>
      <c r="F294" s="289">
        <f>IFERROR(IFERROR(VLOOKUP(B294,'Product Cost - Price'!$C$5:$L$205,11,FALSE),VLOOKUP(B294,'C- Raw Products Costs'!$A$3:$H$72,8,FALSE)),0)</f>
        <v>0</v>
      </c>
      <c r="H294" s="163"/>
      <c r="I294" s="164">
        <f t="shared" si="15"/>
        <v>0</v>
      </c>
      <c r="J294" s="166">
        <f t="shared" si="16"/>
        <v>0</v>
      </c>
      <c r="L294" s="163"/>
      <c r="M294" s="165">
        <f t="shared" si="17"/>
        <v>0</v>
      </c>
    </row>
    <row r="295" spans="1:13" s="7" customFormat="1" ht="15.6" x14ac:dyDescent="0.3">
      <c r="A295" s="168">
        <v>394593</v>
      </c>
      <c r="B295" s="158" t="s">
        <v>59</v>
      </c>
      <c r="C295" s="158"/>
      <c r="D295" s="169" t="s">
        <v>775</v>
      </c>
      <c r="E295" s="169">
        <v>20</v>
      </c>
      <c r="F295" s="289">
        <f>IFERROR(IFERROR(VLOOKUP(B295,'Product Cost - Price'!$C$5:$L$205,11,FALSE),VLOOKUP(B295,'C- Raw Products Costs'!$A$3:$H$72,8,FALSE)),0)</f>
        <v>0</v>
      </c>
      <c r="G295" s="170"/>
      <c r="H295" s="171"/>
      <c r="I295" s="172">
        <f t="shared" si="15"/>
        <v>0</v>
      </c>
      <c r="J295" s="173">
        <f t="shared" si="16"/>
        <v>0</v>
      </c>
      <c r="K295" s="170"/>
      <c r="L295" s="171"/>
      <c r="M295" s="174">
        <f t="shared" si="17"/>
        <v>0</v>
      </c>
    </row>
    <row r="296" spans="1:13" ht="15.6" x14ac:dyDescent="0.3">
      <c r="A296" s="157">
        <v>548427</v>
      </c>
      <c r="B296" s="156" t="s">
        <v>106</v>
      </c>
      <c r="C296" s="156"/>
      <c r="D296" s="161"/>
      <c r="E296" s="161"/>
      <c r="F296" s="289">
        <f>IFERROR(IFERROR(VLOOKUP(B296,'Product Cost - Price'!$C$5:$L$205,11,FALSE),VLOOKUP(B296,'C- Raw Products Costs'!$A$3:$H$72,8,FALSE)),0)</f>
        <v>0</v>
      </c>
      <c r="H296" s="163"/>
      <c r="I296" s="164">
        <f t="shared" si="15"/>
        <v>0</v>
      </c>
      <c r="J296" s="166">
        <f t="shared" si="16"/>
        <v>0</v>
      </c>
      <c r="L296" s="163"/>
      <c r="M296" s="165">
        <f t="shared" si="17"/>
        <v>0</v>
      </c>
    </row>
    <row r="297" spans="1:13" ht="15.6" x14ac:dyDescent="0.3">
      <c r="A297" s="157">
        <v>411756</v>
      </c>
      <c r="B297" s="156" t="s">
        <v>67</v>
      </c>
      <c r="C297" s="156"/>
      <c r="D297" s="161"/>
      <c r="E297" s="161"/>
      <c r="F297" s="289">
        <f>IFERROR(IFERROR(VLOOKUP(B297,'Product Cost - Price'!$C$5:$L$205,11,FALSE),VLOOKUP(B297,'C- Raw Products Costs'!$A$3:$H$72,8,FALSE)),0)</f>
        <v>0</v>
      </c>
      <c r="H297" s="163"/>
      <c r="I297" s="164">
        <f t="shared" si="15"/>
        <v>0</v>
      </c>
      <c r="J297" s="166">
        <f t="shared" si="16"/>
        <v>0</v>
      </c>
      <c r="L297" s="163"/>
      <c r="M297" s="165">
        <f t="shared" si="17"/>
        <v>0</v>
      </c>
    </row>
    <row r="298" spans="1:13" ht="15.6" x14ac:dyDescent="0.3">
      <c r="A298" s="157">
        <v>411757</v>
      </c>
      <c r="B298" s="156" t="s">
        <v>69</v>
      </c>
      <c r="C298" s="156"/>
      <c r="D298" s="161"/>
      <c r="E298" s="161"/>
      <c r="F298" s="289">
        <f>IFERROR(IFERROR(VLOOKUP(B298,'Product Cost - Price'!$C$5:$L$205,11,FALSE),VLOOKUP(B298,'C- Raw Products Costs'!$A$3:$H$72,8,FALSE)),0)</f>
        <v>0</v>
      </c>
      <c r="H298" s="163"/>
      <c r="I298" s="164">
        <f t="shared" si="15"/>
        <v>0</v>
      </c>
      <c r="J298" s="166">
        <f t="shared" si="16"/>
        <v>0</v>
      </c>
      <c r="L298" s="163"/>
      <c r="M298" s="165">
        <f t="shared" si="17"/>
        <v>0</v>
      </c>
    </row>
    <row r="299" spans="1:13" ht="15.6" x14ac:dyDescent="0.3">
      <c r="A299" s="157">
        <v>564128</v>
      </c>
      <c r="B299" s="156" t="s">
        <v>373</v>
      </c>
      <c r="C299" s="156"/>
      <c r="D299" s="161"/>
      <c r="E299" s="161"/>
      <c r="F299" s="289">
        <f>IFERROR(IFERROR(VLOOKUP(B299,'Product Cost - Price'!$C$5:$L$205,11,FALSE),VLOOKUP(B299,'C- Raw Products Costs'!$A$3:$H$72,8,FALSE)),0)</f>
        <v>0</v>
      </c>
      <c r="H299" s="163"/>
      <c r="I299" s="164">
        <f t="shared" si="15"/>
        <v>0</v>
      </c>
      <c r="J299" s="166">
        <f t="shared" si="16"/>
        <v>0</v>
      </c>
      <c r="L299" s="163"/>
      <c r="M299" s="165">
        <f t="shared" si="17"/>
        <v>0</v>
      </c>
    </row>
    <row r="300" spans="1:13" ht="15.6" x14ac:dyDescent="0.3">
      <c r="A300" s="157">
        <v>544934</v>
      </c>
      <c r="B300" s="156" t="s">
        <v>301</v>
      </c>
      <c r="C300" s="156"/>
      <c r="D300" s="161"/>
      <c r="E300" s="161"/>
      <c r="F300" s="289">
        <f>IFERROR(IFERROR(VLOOKUP(B300,'Product Cost - Price'!$C$5:$L$205,11,FALSE),VLOOKUP(B300,'C- Raw Products Costs'!$A$3:$H$72,8,FALSE)),0)</f>
        <v>0</v>
      </c>
      <c r="H300" s="163"/>
      <c r="I300" s="164">
        <f t="shared" si="15"/>
        <v>0</v>
      </c>
      <c r="J300" s="166">
        <f t="shared" si="16"/>
        <v>0</v>
      </c>
      <c r="L300" s="163"/>
      <c r="M300" s="165">
        <f t="shared" si="17"/>
        <v>0</v>
      </c>
    </row>
    <row r="301" spans="1:13" ht="15.6" x14ac:dyDescent="0.3">
      <c r="A301" s="157">
        <v>564129</v>
      </c>
      <c r="B301" s="156" t="s">
        <v>374</v>
      </c>
      <c r="C301" s="156"/>
      <c r="D301" s="161"/>
      <c r="E301" s="161"/>
      <c r="F301" s="289">
        <f>IFERROR(IFERROR(VLOOKUP(B301,'Product Cost - Price'!$C$5:$L$205,11,FALSE),VLOOKUP(B301,'C- Raw Products Costs'!$A$3:$H$72,8,FALSE)),0)</f>
        <v>0</v>
      </c>
      <c r="H301" s="163"/>
      <c r="I301" s="164">
        <f t="shared" si="15"/>
        <v>0</v>
      </c>
      <c r="J301" s="166">
        <f t="shared" si="16"/>
        <v>0</v>
      </c>
      <c r="L301" s="163"/>
      <c r="M301" s="165">
        <f t="shared" si="17"/>
        <v>0</v>
      </c>
    </row>
    <row r="302" spans="1:13" ht="15.6" x14ac:dyDescent="0.3">
      <c r="A302" s="157">
        <v>564069</v>
      </c>
      <c r="B302" s="156" t="s">
        <v>348</v>
      </c>
      <c r="C302" s="156"/>
      <c r="D302" s="161"/>
      <c r="E302" s="161"/>
      <c r="F302" s="289">
        <f>IFERROR(IFERROR(VLOOKUP(B302,'Product Cost - Price'!$C$5:$L$205,11,FALSE),VLOOKUP(B302,'C- Raw Products Costs'!$A$3:$H$72,8,FALSE)),0)</f>
        <v>0</v>
      </c>
      <c r="H302" s="163"/>
      <c r="I302" s="164">
        <f t="shared" si="15"/>
        <v>0</v>
      </c>
      <c r="J302" s="166">
        <f t="shared" si="16"/>
        <v>0</v>
      </c>
      <c r="L302" s="163"/>
      <c r="M302" s="165">
        <f t="shared" si="17"/>
        <v>0</v>
      </c>
    </row>
    <row r="303" spans="1:13" ht="15.6" x14ac:dyDescent="0.3">
      <c r="A303" s="157">
        <v>564070</v>
      </c>
      <c r="B303" s="156" t="s">
        <v>349</v>
      </c>
      <c r="C303" s="156"/>
      <c r="D303" s="161"/>
      <c r="E303" s="161"/>
      <c r="F303" s="289">
        <f>IFERROR(IFERROR(VLOOKUP(B303,'Product Cost - Price'!$C$5:$L$205,11,FALSE),VLOOKUP(B303,'C- Raw Products Costs'!$A$3:$H$72,8,FALSE)),0)</f>
        <v>0</v>
      </c>
      <c r="H303" s="163"/>
      <c r="I303" s="164">
        <f t="shared" si="15"/>
        <v>0</v>
      </c>
      <c r="J303" s="166">
        <f t="shared" si="16"/>
        <v>0</v>
      </c>
      <c r="L303" s="163"/>
      <c r="M303" s="165">
        <f t="shared" si="17"/>
        <v>0</v>
      </c>
    </row>
    <row r="304" spans="1:13" ht="15.6" x14ac:dyDescent="0.3">
      <c r="A304" s="157">
        <v>544933</v>
      </c>
      <c r="B304" s="156" t="s">
        <v>300</v>
      </c>
      <c r="C304" s="156"/>
      <c r="D304" s="161"/>
      <c r="E304" s="161"/>
      <c r="F304" s="289">
        <f>IFERROR(IFERROR(VLOOKUP(B304,'Product Cost - Price'!$C$5:$L$205,11,FALSE),VLOOKUP(B304,'C- Raw Products Costs'!$A$3:$H$72,8,FALSE)),0)</f>
        <v>0</v>
      </c>
      <c r="H304" s="163"/>
      <c r="I304" s="164">
        <f t="shared" si="15"/>
        <v>0</v>
      </c>
      <c r="J304" s="166">
        <f t="shared" si="16"/>
        <v>0</v>
      </c>
      <c r="L304" s="163"/>
      <c r="M304" s="165">
        <f t="shared" si="17"/>
        <v>0</v>
      </c>
    </row>
    <row r="305" spans="1:15" ht="15.6" x14ac:dyDescent="0.3">
      <c r="A305" s="157">
        <v>565467</v>
      </c>
      <c r="B305" s="156" t="s">
        <v>383</v>
      </c>
      <c r="C305" s="156"/>
      <c r="D305" s="161"/>
      <c r="E305" s="161"/>
      <c r="F305" s="289">
        <f>IFERROR(IFERROR(VLOOKUP(B305,'Product Cost - Price'!$C$5:$L$205,11,FALSE),VLOOKUP(B305,'C- Raw Products Costs'!$A$3:$H$72,8,FALSE)),0)</f>
        <v>0</v>
      </c>
      <c r="H305" s="163"/>
      <c r="I305" s="164">
        <f t="shared" si="15"/>
        <v>0</v>
      </c>
      <c r="J305" s="166">
        <f t="shared" si="16"/>
        <v>0</v>
      </c>
      <c r="L305" s="163"/>
      <c r="M305" s="165">
        <f t="shared" si="17"/>
        <v>0</v>
      </c>
    </row>
    <row r="306" spans="1:15" ht="15.6" x14ac:dyDescent="0.3">
      <c r="A306" s="157">
        <v>541156</v>
      </c>
      <c r="B306" s="156" t="s">
        <v>285</v>
      </c>
      <c r="C306" s="156"/>
      <c r="D306" s="161"/>
      <c r="E306" s="161"/>
      <c r="F306" s="289">
        <f>IFERROR(IFERROR(VLOOKUP(B306,'Product Cost - Price'!$C$5:$L$205,11,FALSE),VLOOKUP(B306,'C- Raw Products Costs'!$A$3:$H$72,8,FALSE)),0)</f>
        <v>0</v>
      </c>
      <c r="H306" s="163"/>
      <c r="I306" s="164">
        <f t="shared" si="15"/>
        <v>0</v>
      </c>
      <c r="J306" s="166">
        <f t="shared" si="16"/>
        <v>0</v>
      </c>
      <c r="L306" s="163"/>
      <c r="M306" s="165">
        <f t="shared" si="17"/>
        <v>0</v>
      </c>
    </row>
    <row r="307" spans="1:15" ht="15.6" x14ac:dyDescent="0.3">
      <c r="A307" s="157">
        <v>383817</v>
      </c>
      <c r="B307" s="156" t="s">
        <v>52</v>
      </c>
      <c r="C307" s="156"/>
      <c r="D307" s="161"/>
      <c r="E307" s="161"/>
      <c r="F307" s="289">
        <f>IFERROR(IFERROR(VLOOKUP(B307,'Product Cost - Price'!$C$5:$L$205,11,FALSE),VLOOKUP(B307,'C- Raw Products Costs'!$A$3:$H$72,8,FALSE)),0)</f>
        <v>0</v>
      </c>
      <c r="H307" s="163"/>
      <c r="I307" s="164">
        <f t="shared" si="15"/>
        <v>0</v>
      </c>
      <c r="J307" s="166">
        <f t="shared" si="16"/>
        <v>0</v>
      </c>
      <c r="L307" s="163"/>
      <c r="M307" s="165">
        <f t="shared" si="17"/>
        <v>0</v>
      </c>
    </row>
    <row r="308" spans="1:15" x14ac:dyDescent="0.3">
      <c r="A308" s="72"/>
      <c r="C308" s="72"/>
      <c r="D308" s="72"/>
      <c r="E308" s="72"/>
      <c r="F308" s="72"/>
      <c r="H308" s="72"/>
      <c r="I308" s="72"/>
      <c r="J308" s="72"/>
      <c r="L308" s="72"/>
      <c r="M308" s="72"/>
      <c r="N308" s="72"/>
      <c r="O308" s="72"/>
    </row>
    <row r="309" spans="1:15" x14ac:dyDescent="0.3">
      <c r="A309" s="72"/>
      <c r="C309" s="72"/>
      <c r="D309" s="72"/>
      <c r="E309" s="72"/>
      <c r="F309" s="72"/>
      <c r="H309" s="72"/>
      <c r="I309" s="72"/>
      <c r="J309" s="72"/>
      <c r="L309" s="72"/>
      <c r="M309" s="72"/>
      <c r="N309" s="72"/>
      <c r="O309" s="72"/>
    </row>
    <row r="310" spans="1:15" x14ac:dyDescent="0.3">
      <c r="A310" s="72"/>
      <c r="C310" s="72"/>
      <c r="D310" s="72"/>
      <c r="E310" s="72"/>
      <c r="F310" s="72"/>
      <c r="H310" s="72"/>
      <c r="I310" s="72"/>
      <c r="J310" s="72"/>
      <c r="L310" s="72"/>
      <c r="M310" s="72"/>
      <c r="N310" s="72"/>
      <c r="O310" s="72"/>
    </row>
    <row r="311" spans="1:15" x14ac:dyDescent="0.3">
      <c r="A311" s="72"/>
      <c r="C311" s="72"/>
      <c r="D311" s="72"/>
      <c r="E311" s="72"/>
      <c r="F311" s="72"/>
      <c r="H311" s="72"/>
      <c r="I311" s="72"/>
      <c r="J311" s="72"/>
      <c r="L311" s="72"/>
      <c r="M311" s="72"/>
      <c r="N311" s="72"/>
      <c r="O311" s="72"/>
    </row>
    <row r="312" spans="1:15" x14ac:dyDescent="0.3">
      <c r="A312" s="72"/>
      <c r="C312" s="72"/>
      <c r="D312" s="72"/>
      <c r="E312" s="72"/>
      <c r="F312" s="72"/>
      <c r="H312" s="72"/>
      <c r="I312" s="72"/>
      <c r="J312" s="72"/>
      <c r="L312" s="72"/>
      <c r="M312" s="72"/>
      <c r="N312" s="72"/>
      <c r="O312" s="72"/>
    </row>
    <row r="313" spans="1:15" x14ac:dyDescent="0.3">
      <c r="A313" s="72"/>
      <c r="C313" s="72"/>
      <c r="D313" s="72"/>
      <c r="E313" s="72"/>
      <c r="F313" s="72"/>
      <c r="H313" s="72"/>
      <c r="I313" s="72"/>
      <c r="J313" s="72"/>
      <c r="L313" s="72"/>
      <c r="M313" s="72"/>
      <c r="N313" s="72"/>
      <c r="O313" s="72"/>
    </row>
    <row r="314" spans="1:15" ht="15.6" x14ac:dyDescent="0.3">
      <c r="A314" s="72"/>
      <c r="B314" s="158" t="s">
        <v>231</v>
      </c>
      <c r="C314" s="72"/>
      <c r="D314" s="72"/>
      <c r="E314" s="72"/>
      <c r="F314" s="72"/>
      <c r="H314" s="72"/>
      <c r="I314" s="72"/>
      <c r="J314" s="72"/>
      <c r="L314" s="72"/>
      <c r="M314" s="72"/>
      <c r="N314" s="72"/>
      <c r="O314" s="72"/>
    </row>
    <row r="315" spans="1:15" ht="15.6" x14ac:dyDescent="0.3">
      <c r="A315" s="72"/>
      <c r="B315" s="158" t="s">
        <v>779</v>
      </c>
      <c r="C315" s="72"/>
      <c r="D315" s="72"/>
      <c r="E315" s="72"/>
      <c r="F315" s="72"/>
      <c r="H315" s="72"/>
      <c r="I315" s="72"/>
      <c r="J315" s="72"/>
      <c r="L315" s="72"/>
      <c r="M315" s="72"/>
      <c r="N315" s="72"/>
      <c r="O315" s="72"/>
    </row>
    <row r="316" spans="1:15" x14ac:dyDescent="0.3">
      <c r="C316" s="72"/>
      <c r="D316" s="72"/>
      <c r="E316" s="72"/>
      <c r="F316" s="72"/>
      <c r="H316" s="72"/>
      <c r="I316" s="72"/>
      <c r="J316" s="72"/>
      <c r="L316" s="72"/>
      <c r="M316" s="72"/>
      <c r="N316" s="72"/>
      <c r="O316" s="72"/>
    </row>
    <row r="317" spans="1:15" x14ac:dyDescent="0.3">
      <c r="C317" s="72"/>
      <c r="D317" s="72"/>
      <c r="E317" s="72"/>
      <c r="F317" s="72"/>
      <c r="H317" s="72"/>
      <c r="I317" s="72"/>
      <c r="J317" s="72"/>
      <c r="L317" s="72"/>
      <c r="M317" s="72"/>
      <c r="N317" s="72"/>
      <c r="O317" s="72"/>
    </row>
    <row r="318" spans="1:15" x14ac:dyDescent="0.3">
      <c r="C318" s="72"/>
      <c r="D318" s="72"/>
      <c r="E318" s="72"/>
      <c r="F318" s="72"/>
      <c r="H318" s="72"/>
      <c r="I318" s="72"/>
      <c r="J318" s="72"/>
      <c r="L318" s="72"/>
      <c r="M318" s="72"/>
      <c r="N318" s="72"/>
      <c r="O318" s="72"/>
    </row>
    <row r="319" spans="1:15" x14ac:dyDescent="0.3">
      <c r="C319" s="72"/>
      <c r="D319" s="72"/>
      <c r="E319" s="72"/>
      <c r="F319" s="72"/>
      <c r="H319" s="72"/>
      <c r="I319" s="72"/>
      <c r="J319" s="72"/>
      <c r="L319" s="72"/>
      <c r="M319" s="72"/>
      <c r="N319" s="72"/>
      <c r="O319" s="72"/>
    </row>
  </sheetData>
  <autoFilter ref="A2:Q271" xr:uid="{1EB9D654-D8F7-4529-91C1-89C6F01E995A}"/>
  <mergeCells count="2">
    <mergeCell ref="H1:J1"/>
    <mergeCell ref="L1:M1"/>
  </mergeCells>
  <pageMargins left="0.7" right="0.7" top="0.75" bottom="0.75" header="0.3" footer="0.3"/>
  <pageSetup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75FB-7878-48B5-8AC9-77085F598EA5}">
  <sheetPr>
    <tabColor theme="0" tint="-4.9989318521683403E-2"/>
  </sheetPr>
  <dimension ref="A1:U240"/>
  <sheetViews>
    <sheetView workbookViewId="0">
      <selection activeCell="G19" sqref="G19"/>
    </sheetView>
  </sheetViews>
  <sheetFormatPr defaultColWidth="9.109375" defaultRowHeight="14.4" x14ac:dyDescent="0.3"/>
  <cols>
    <col min="1" max="1" width="58.44140625" style="72" bestFit="1" customWidth="1"/>
    <col min="2" max="2" width="12" style="72" customWidth="1"/>
    <col min="3" max="3" width="18.109375" style="72" customWidth="1"/>
    <col min="4" max="4" width="11.44140625" style="72" bestFit="1" customWidth="1"/>
    <col min="5" max="5" width="17.109375" style="72" bestFit="1" customWidth="1"/>
    <col min="6" max="6" width="18.88671875" style="72" bestFit="1" customWidth="1"/>
    <col min="7" max="7" width="18.88671875" style="72" customWidth="1"/>
    <col min="8" max="12" width="9.109375" style="72"/>
    <col min="13" max="13" width="13.44140625" style="72" customWidth="1"/>
    <col min="14" max="16384" width="9.109375" style="72"/>
  </cols>
  <sheetData>
    <row r="1" spans="1:21" x14ac:dyDescent="0.3">
      <c r="B1" s="327" t="s">
        <v>780</v>
      </c>
      <c r="C1" s="327"/>
      <c r="H1" s="327" t="s">
        <v>781</v>
      </c>
      <c r="I1" s="327"/>
    </row>
    <row r="2" spans="1:21" x14ac:dyDescent="0.3">
      <c r="A2" s="143" t="s">
        <v>3</v>
      </c>
      <c r="B2" s="143" t="s">
        <v>6</v>
      </c>
      <c r="C2" s="143" t="s">
        <v>7</v>
      </c>
      <c r="D2" s="143" t="s">
        <v>8</v>
      </c>
      <c r="E2" s="143" t="s">
        <v>9</v>
      </c>
      <c r="F2" s="143" t="s">
        <v>10</v>
      </c>
      <c r="G2" s="143"/>
      <c r="H2" s="143" t="s">
        <v>782</v>
      </c>
      <c r="I2" s="143" t="s">
        <v>783</v>
      </c>
      <c r="J2" s="143"/>
      <c r="K2" s="143" t="s">
        <v>782</v>
      </c>
      <c r="L2" s="143" t="s">
        <v>783</v>
      </c>
      <c r="M2" s="143" t="s">
        <v>784</v>
      </c>
      <c r="N2" s="143"/>
      <c r="O2" s="143"/>
      <c r="P2" s="143"/>
      <c r="Q2" s="143"/>
      <c r="R2" s="143"/>
      <c r="S2" s="143"/>
      <c r="T2" s="143"/>
      <c r="U2" s="143"/>
    </row>
    <row r="3" spans="1:21" x14ac:dyDescent="0.3">
      <c r="A3" s="143" t="s">
        <v>231</v>
      </c>
      <c r="B3" s="150">
        <v>18</v>
      </c>
      <c r="C3" s="150">
        <v>16.73</v>
      </c>
      <c r="D3" s="143">
        <v>23.35</v>
      </c>
      <c r="E3" s="143">
        <v>0</v>
      </c>
      <c r="F3" s="143" t="s">
        <v>23</v>
      </c>
      <c r="G3" s="143"/>
      <c r="H3" s="143">
        <v>18</v>
      </c>
      <c r="I3" s="143">
        <v>16.73</v>
      </c>
      <c r="J3" s="143"/>
      <c r="K3" s="147">
        <f t="shared" ref="K3:K66" si="0">IFERROR(B3-H3,"n/a")</f>
        <v>0</v>
      </c>
      <c r="L3" s="147">
        <f t="shared" ref="L3:L66" si="1">IFERROR(C3-I3,"n/a")</f>
        <v>0</v>
      </c>
      <c r="M3" s="143" t="s">
        <v>785</v>
      </c>
      <c r="N3" s="143"/>
      <c r="O3" s="143"/>
      <c r="P3" s="143"/>
      <c r="Q3" s="143"/>
      <c r="R3" s="143"/>
      <c r="S3" s="143"/>
      <c r="T3" s="143"/>
      <c r="U3" s="143"/>
    </row>
    <row r="4" spans="1:21" x14ac:dyDescent="0.3">
      <c r="A4" s="143" t="s">
        <v>149</v>
      </c>
      <c r="B4" s="150">
        <v>17.3</v>
      </c>
      <c r="C4" s="150">
        <v>16.12</v>
      </c>
      <c r="D4" s="143">
        <v>22.4</v>
      </c>
      <c r="E4" s="143">
        <v>0</v>
      </c>
      <c r="F4" s="143" t="s">
        <v>23</v>
      </c>
      <c r="G4" s="143"/>
      <c r="H4" s="143">
        <v>17.3</v>
      </c>
      <c r="I4" s="143">
        <v>16.12</v>
      </c>
      <c r="J4" s="143"/>
      <c r="K4" s="147">
        <f t="shared" si="0"/>
        <v>0</v>
      </c>
      <c r="L4" s="147">
        <f t="shared" si="1"/>
        <v>0</v>
      </c>
      <c r="M4" s="143" t="s">
        <v>785</v>
      </c>
      <c r="N4" s="143"/>
      <c r="O4" s="143"/>
      <c r="P4" s="143"/>
      <c r="Q4" s="143"/>
      <c r="R4" s="143"/>
      <c r="S4" s="143"/>
      <c r="T4" s="143"/>
      <c r="U4" s="143"/>
    </row>
    <row r="5" spans="1:21" x14ac:dyDescent="0.3">
      <c r="A5" s="143" t="s">
        <v>131</v>
      </c>
      <c r="B5" s="147">
        <f>VLOOKUP(A5,'Product Cost - Price'!$D$5:$U$252,18,FALSE)</f>
        <v>27</v>
      </c>
      <c r="C5" s="147">
        <f>VLOOKUP(A5,'Product Cost - Price'!$D$5:$U$252,17,FALSE)</f>
        <v>23.475609756097558</v>
      </c>
      <c r="D5" s="143">
        <v>0</v>
      </c>
      <c r="E5" s="143">
        <v>0</v>
      </c>
      <c r="F5" s="143" t="s">
        <v>23</v>
      </c>
      <c r="G5" s="143"/>
      <c r="H5" s="143">
        <v>25.35</v>
      </c>
      <c r="I5" s="143">
        <v>17.95</v>
      </c>
      <c r="J5" s="143"/>
      <c r="K5" s="147">
        <f t="shared" si="0"/>
        <v>1.6499999999999986</v>
      </c>
      <c r="L5" s="147">
        <f t="shared" si="1"/>
        <v>5.525609756097559</v>
      </c>
      <c r="M5" s="143" t="s">
        <v>786</v>
      </c>
      <c r="N5" s="143"/>
      <c r="O5" s="143"/>
      <c r="P5" s="143"/>
      <c r="Q5" s="143"/>
      <c r="R5" s="143"/>
      <c r="S5" s="143"/>
      <c r="T5" s="143"/>
      <c r="U5" s="143"/>
    </row>
    <row r="6" spans="1:21" x14ac:dyDescent="0.3">
      <c r="A6" s="143" t="s">
        <v>313</v>
      </c>
      <c r="B6" s="147" t="e">
        <f>VLOOKUP(A6,'Product Cost - Price'!$D$5:$U$252,18,FALSE)</f>
        <v>#N/A</v>
      </c>
      <c r="C6" s="147" t="e">
        <f>VLOOKUP(A6,'Product Cost - Price'!$D$5:$U$252,17,FALSE)</f>
        <v>#N/A</v>
      </c>
      <c r="D6" s="143">
        <v>21.25</v>
      </c>
      <c r="E6" s="143">
        <v>0</v>
      </c>
      <c r="F6" s="143" t="s">
        <v>23</v>
      </c>
      <c r="G6" s="143"/>
      <c r="H6" s="143">
        <v>20.2</v>
      </c>
      <c r="I6" s="143">
        <v>18.78</v>
      </c>
      <c r="J6" s="143"/>
      <c r="K6" s="147" t="str">
        <f t="shared" si="0"/>
        <v>n/a</v>
      </c>
      <c r="L6" s="147" t="str">
        <f t="shared" si="1"/>
        <v>n/a</v>
      </c>
      <c r="M6" s="143" t="s">
        <v>786</v>
      </c>
      <c r="N6" s="143"/>
      <c r="O6" s="143"/>
      <c r="P6" s="143"/>
      <c r="Q6" s="143"/>
      <c r="R6" s="143"/>
      <c r="S6" s="143"/>
      <c r="T6" s="143"/>
      <c r="U6" s="143"/>
    </row>
    <row r="7" spans="1:21" x14ac:dyDescent="0.3">
      <c r="A7" s="143" t="s">
        <v>323</v>
      </c>
      <c r="B7" s="147" t="e">
        <f>VLOOKUP(A7,'Product Cost - Price'!$D$5:$U$252,18,FALSE)</f>
        <v>#N/A</v>
      </c>
      <c r="C7" s="147">
        <v>0</v>
      </c>
      <c r="D7" s="145">
        <v>0</v>
      </c>
      <c r="E7" s="145">
        <v>0</v>
      </c>
      <c r="F7" s="143" t="s">
        <v>23</v>
      </c>
      <c r="G7" s="143"/>
      <c r="H7" s="143">
        <v>23.94</v>
      </c>
      <c r="I7" s="143">
        <v>7.3999999999999996E-2</v>
      </c>
      <c r="J7" s="143"/>
      <c r="K7" s="150" t="str">
        <f t="shared" si="0"/>
        <v>n/a</v>
      </c>
      <c r="L7" s="150">
        <f t="shared" si="1"/>
        <v>-7.3999999999999996E-2</v>
      </c>
      <c r="M7" s="143" t="s">
        <v>786</v>
      </c>
      <c r="N7" s="143"/>
      <c r="O7" s="143"/>
      <c r="P7" s="143"/>
      <c r="Q7" s="143"/>
      <c r="R7" s="143"/>
      <c r="S7" s="143"/>
      <c r="T7" s="143"/>
      <c r="U7" s="143"/>
    </row>
    <row r="8" spans="1:21" x14ac:dyDescent="0.3">
      <c r="A8" s="143" t="s">
        <v>325</v>
      </c>
      <c r="B8" s="147" t="e">
        <f>VLOOKUP(A8,'Product Cost - Price'!$D$5:$U$252,18,FALSE)</f>
        <v>#N/A</v>
      </c>
      <c r="C8" s="147">
        <v>0</v>
      </c>
      <c r="D8" s="145">
        <v>0</v>
      </c>
      <c r="E8" s="145">
        <v>0</v>
      </c>
      <c r="F8" s="143" t="s">
        <v>23</v>
      </c>
      <c r="G8" s="143"/>
      <c r="H8" s="143">
        <v>23.47</v>
      </c>
      <c r="I8" s="143">
        <v>7.3999999999999996E-2</v>
      </c>
      <c r="J8" s="143"/>
      <c r="K8" s="150" t="str">
        <f t="shared" si="0"/>
        <v>n/a</v>
      </c>
      <c r="L8" s="150">
        <f t="shared" si="1"/>
        <v>-7.3999999999999996E-2</v>
      </c>
      <c r="M8" s="143" t="s">
        <v>786</v>
      </c>
      <c r="N8" s="143"/>
      <c r="O8" s="143"/>
      <c r="P8" s="143"/>
      <c r="Q8" s="143"/>
      <c r="R8" s="143"/>
      <c r="S8" s="143"/>
      <c r="T8" s="143"/>
      <c r="U8" s="143"/>
    </row>
    <row r="9" spans="1:21" x14ac:dyDescent="0.3">
      <c r="A9" s="143" t="s">
        <v>367</v>
      </c>
      <c r="B9" s="147" t="e">
        <f>VLOOKUP(A9,'Product Cost - Price'!$D$5:$U$252,18,FALSE)</f>
        <v>#N/A</v>
      </c>
      <c r="C9" s="147">
        <v>0</v>
      </c>
      <c r="D9" s="145">
        <v>0</v>
      </c>
      <c r="E9" s="145">
        <v>0</v>
      </c>
      <c r="F9" s="143" t="s">
        <v>23</v>
      </c>
      <c r="G9" s="143"/>
      <c r="H9" s="143">
        <v>26.4</v>
      </c>
      <c r="I9" s="143">
        <v>7.3999999999999996E-2</v>
      </c>
      <c r="J9" s="143"/>
      <c r="K9" s="150" t="str">
        <f t="shared" si="0"/>
        <v>n/a</v>
      </c>
      <c r="L9" s="150">
        <f t="shared" si="1"/>
        <v>-7.3999999999999996E-2</v>
      </c>
      <c r="M9" s="143" t="s">
        <v>786</v>
      </c>
      <c r="N9" s="143"/>
      <c r="O9" s="143"/>
      <c r="P9" s="143"/>
      <c r="Q9" s="143"/>
      <c r="R9" s="144"/>
      <c r="S9" s="145"/>
      <c r="T9" s="145"/>
      <c r="U9" s="143"/>
    </row>
    <row r="10" spans="1:21" x14ac:dyDescent="0.3">
      <c r="A10" s="143" t="s">
        <v>287</v>
      </c>
      <c r="B10" s="147" t="e">
        <f>VLOOKUP(A10,'Product Cost - Price'!$D$5:$U$252,18,FALSE)</f>
        <v>#N/A</v>
      </c>
      <c r="C10" s="147">
        <v>0</v>
      </c>
      <c r="D10" s="143">
        <v>0</v>
      </c>
      <c r="E10" s="143">
        <v>0</v>
      </c>
      <c r="F10" s="143" t="s">
        <v>23</v>
      </c>
      <c r="G10" s="143"/>
      <c r="H10" s="143">
        <v>19.2</v>
      </c>
      <c r="I10" s="143">
        <v>0</v>
      </c>
      <c r="J10" s="143"/>
      <c r="K10" s="150" t="str">
        <f t="shared" si="0"/>
        <v>n/a</v>
      </c>
      <c r="L10" s="150">
        <f t="shared" si="1"/>
        <v>0</v>
      </c>
      <c r="M10" s="143" t="s">
        <v>786</v>
      </c>
      <c r="N10" s="143"/>
      <c r="O10" s="143"/>
      <c r="P10" s="143"/>
      <c r="Q10" s="143"/>
      <c r="R10" s="143"/>
      <c r="S10" s="143"/>
      <c r="T10" s="143"/>
      <c r="U10" s="143"/>
    </row>
    <row r="11" spans="1:21" x14ac:dyDescent="0.3">
      <c r="A11" s="143" t="s">
        <v>329</v>
      </c>
      <c r="B11" s="147" t="e">
        <f>VLOOKUP(A11,'Product Cost - Price'!$D$5:$U$252,18,FALSE)</f>
        <v>#N/A</v>
      </c>
      <c r="C11" s="147">
        <v>0</v>
      </c>
      <c r="D11" s="145">
        <v>0</v>
      </c>
      <c r="E11" s="145">
        <v>0</v>
      </c>
      <c r="F11" s="143" t="s">
        <v>23</v>
      </c>
      <c r="G11" s="143"/>
      <c r="H11" s="143">
        <v>26.21</v>
      </c>
      <c r="I11" s="143">
        <v>7.3999999999999996E-2</v>
      </c>
      <c r="J11" s="143"/>
      <c r="K11" s="150" t="str">
        <f t="shared" si="0"/>
        <v>n/a</v>
      </c>
      <c r="L11" s="150">
        <f t="shared" si="1"/>
        <v>-7.3999999999999996E-2</v>
      </c>
      <c r="M11" s="143" t="s">
        <v>786</v>
      </c>
      <c r="N11" s="143"/>
      <c r="O11" s="143"/>
      <c r="P11" s="143"/>
      <c r="Q11" s="143"/>
      <c r="R11" s="143"/>
      <c r="S11" s="143"/>
      <c r="T11" s="143"/>
      <c r="U11" s="143"/>
    </row>
    <row r="12" spans="1:21" x14ac:dyDescent="0.3">
      <c r="A12" s="143" t="s">
        <v>365</v>
      </c>
      <c r="B12" s="147" t="e">
        <f>VLOOKUP(A12,'Product Cost - Price'!$D$5:$U$252,18,FALSE)</f>
        <v>#N/A</v>
      </c>
      <c r="C12" s="147">
        <v>0</v>
      </c>
      <c r="D12" s="145">
        <v>0</v>
      </c>
      <c r="E12" s="145">
        <v>0</v>
      </c>
      <c r="F12" s="143" t="s">
        <v>23</v>
      </c>
      <c r="G12" s="143"/>
      <c r="H12" s="143">
        <v>26.21</v>
      </c>
      <c r="I12" s="143">
        <v>7.3999999999999996E-2</v>
      </c>
      <c r="J12" s="143"/>
      <c r="K12" s="150" t="str">
        <f t="shared" si="0"/>
        <v>n/a</v>
      </c>
      <c r="L12" s="150">
        <f t="shared" si="1"/>
        <v>-7.3999999999999996E-2</v>
      </c>
      <c r="M12" s="143" t="s">
        <v>786</v>
      </c>
      <c r="N12" s="143"/>
      <c r="O12" s="143"/>
      <c r="P12" s="143"/>
      <c r="Q12" s="143"/>
      <c r="R12" s="144"/>
      <c r="S12" s="145"/>
      <c r="T12" s="145"/>
      <c r="U12" s="143"/>
    </row>
    <row r="13" spans="1:21" x14ac:dyDescent="0.3">
      <c r="A13" s="143" t="s">
        <v>283</v>
      </c>
      <c r="B13" s="147" t="e">
        <f>VLOOKUP(A13,'Product Cost - Price'!$D$5:$U$252,18,FALSE)</f>
        <v>#N/A</v>
      </c>
      <c r="C13" s="147">
        <v>0</v>
      </c>
      <c r="D13" s="143">
        <v>0</v>
      </c>
      <c r="E13" s="143">
        <v>0</v>
      </c>
      <c r="F13" s="143" t="s">
        <v>23</v>
      </c>
      <c r="G13" s="143"/>
      <c r="H13" s="143">
        <v>18.2</v>
      </c>
      <c r="I13" s="143">
        <v>0</v>
      </c>
      <c r="J13" s="143"/>
      <c r="K13" s="150" t="str">
        <f t="shared" si="0"/>
        <v>n/a</v>
      </c>
      <c r="L13" s="150">
        <f t="shared" si="1"/>
        <v>0</v>
      </c>
      <c r="M13" s="143" t="s">
        <v>786</v>
      </c>
      <c r="N13" s="143"/>
      <c r="O13" s="143"/>
      <c r="P13" s="143"/>
      <c r="Q13" s="143"/>
      <c r="R13" s="143"/>
      <c r="S13" s="143"/>
      <c r="T13" s="143"/>
      <c r="U13" s="143"/>
    </row>
    <row r="14" spans="1:21" x14ac:dyDescent="0.3">
      <c r="A14" s="143" t="s">
        <v>357</v>
      </c>
      <c r="B14" s="147" t="e">
        <f>VLOOKUP(A14,'Product Cost - Price'!$D$5:$U$252,18,FALSE)</f>
        <v>#N/A</v>
      </c>
      <c r="C14" s="147">
        <v>0</v>
      </c>
      <c r="D14" s="145">
        <v>0</v>
      </c>
      <c r="E14" s="145">
        <v>0</v>
      </c>
      <c r="F14" s="143" t="s">
        <v>23</v>
      </c>
      <c r="G14" s="143"/>
      <c r="H14" s="143">
        <v>24.9</v>
      </c>
      <c r="I14" s="143">
        <v>7.3999999999999996E-2</v>
      </c>
      <c r="J14" s="143"/>
      <c r="K14" s="150" t="str">
        <f t="shared" si="0"/>
        <v>n/a</v>
      </c>
      <c r="L14" s="150">
        <f t="shared" si="1"/>
        <v>-7.3999999999999996E-2</v>
      </c>
      <c r="M14" s="143" t="s">
        <v>786</v>
      </c>
      <c r="N14" s="143"/>
      <c r="O14" s="143"/>
      <c r="P14" s="143"/>
      <c r="Q14" s="143"/>
      <c r="R14" s="144"/>
      <c r="S14" s="145"/>
      <c r="T14" s="145"/>
      <c r="U14" s="143"/>
    </row>
    <row r="15" spans="1:21" x14ac:dyDescent="0.3">
      <c r="A15" s="143" t="s">
        <v>326</v>
      </c>
      <c r="B15" s="147" t="e">
        <f>VLOOKUP(A15,'Product Cost - Price'!$D$5:$U$252,18,FALSE)</f>
        <v>#N/A</v>
      </c>
      <c r="C15" s="147">
        <v>0</v>
      </c>
      <c r="D15" s="145">
        <v>0</v>
      </c>
      <c r="E15" s="145">
        <v>0</v>
      </c>
      <c r="F15" s="143" t="s">
        <v>23</v>
      </c>
      <c r="G15" s="143"/>
      <c r="H15" s="143">
        <v>26.75</v>
      </c>
      <c r="I15" s="143">
        <v>7.3999999999999996E-2</v>
      </c>
      <c r="J15" s="143"/>
      <c r="K15" s="150" t="str">
        <f t="shared" si="0"/>
        <v>n/a</v>
      </c>
      <c r="L15" s="150">
        <f t="shared" si="1"/>
        <v>-7.3999999999999996E-2</v>
      </c>
      <c r="M15" s="143" t="s">
        <v>786</v>
      </c>
      <c r="N15" s="143"/>
      <c r="O15" s="143"/>
      <c r="P15" s="143"/>
      <c r="Q15" s="143"/>
      <c r="R15" s="143"/>
      <c r="S15" s="143"/>
      <c r="T15" s="143"/>
      <c r="U15" s="143"/>
    </row>
    <row r="16" spans="1:21" x14ac:dyDescent="0.3">
      <c r="A16" s="143" t="s">
        <v>125</v>
      </c>
      <c r="B16" s="147" t="e">
        <f>VLOOKUP(A16,'Product Cost - Price'!$D$5:$U$252,18,FALSE)</f>
        <v>#N/A</v>
      </c>
      <c r="C16" s="147" t="e">
        <f>VLOOKUP(A16,'Product Cost - Price'!$D$5:$U$252,17,FALSE)</f>
        <v>#N/A</v>
      </c>
      <c r="D16" s="143">
        <v>21.25</v>
      </c>
      <c r="E16" s="143">
        <v>0</v>
      </c>
      <c r="F16" s="143" t="s">
        <v>23</v>
      </c>
      <c r="G16" s="143"/>
      <c r="H16" s="143">
        <v>17.8</v>
      </c>
      <c r="I16" s="143">
        <v>16.600000000000001</v>
      </c>
      <c r="J16" s="143"/>
      <c r="K16" s="147" t="str">
        <f t="shared" si="0"/>
        <v>n/a</v>
      </c>
      <c r="L16" s="147" t="str">
        <f t="shared" si="1"/>
        <v>n/a</v>
      </c>
      <c r="M16" s="143" t="s">
        <v>786</v>
      </c>
      <c r="N16" s="143"/>
      <c r="O16" s="143"/>
      <c r="P16" s="143"/>
      <c r="Q16" s="143"/>
      <c r="R16" s="143"/>
      <c r="S16" s="143"/>
      <c r="T16" s="143"/>
      <c r="U16" s="143"/>
    </row>
    <row r="17" spans="1:21" x14ac:dyDescent="0.3">
      <c r="A17" s="143">
        <v>332</v>
      </c>
      <c r="B17" s="147">
        <v>15.45</v>
      </c>
      <c r="C17" s="147">
        <v>0</v>
      </c>
      <c r="D17" s="145">
        <v>0</v>
      </c>
      <c r="E17" s="145">
        <v>0</v>
      </c>
      <c r="F17" s="143" t="s">
        <v>23</v>
      </c>
      <c r="G17" s="143"/>
      <c r="H17" s="143">
        <v>15.45</v>
      </c>
      <c r="I17" s="143">
        <v>0</v>
      </c>
      <c r="J17" s="143"/>
      <c r="K17" s="147">
        <f t="shared" si="0"/>
        <v>0</v>
      </c>
      <c r="L17" s="147">
        <f t="shared" si="1"/>
        <v>0</v>
      </c>
      <c r="M17" s="143" t="s">
        <v>787</v>
      </c>
      <c r="N17" s="143"/>
      <c r="O17" s="143"/>
      <c r="P17" s="143"/>
      <c r="Q17" s="143"/>
      <c r="R17" s="144"/>
      <c r="S17" s="145"/>
      <c r="T17" s="145"/>
      <c r="U17" s="143"/>
    </row>
    <row r="18" spans="1:21" x14ac:dyDescent="0.3">
      <c r="A18" s="143">
        <v>145</v>
      </c>
      <c r="B18" s="147">
        <v>12.54</v>
      </c>
      <c r="C18" s="147">
        <v>0</v>
      </c>
      <c r="D18" s="145">
        <v>0</v>
      </c>
      <c r="E18" s="145">
        <v>0</v>
      </c>
      <c r="F18" s="143" t="s">
        <v>23</v>
      </c>
      <c r="G18" s="143"/>
      <c r="H18" s="143">
        <v>12.54</v>
      </c>
      <c r="I18" s="143">
        <v>7.3999999999999996E-2</v>
      </c>
      <c r="J18" s="143"/>
      <c r="K18" s="147">
        <f t="shared" si="0"/>
        <v>0</v>
      </c>
      <c r="L18" s="147">
        <f t="shared" si="1"/>
        <v>-7.3999999999999996E-2</v>
      </c>
      <c r="M18" s="143" t="s">
        <v>787</v>
      </c>
      <c r="N18" s="143"/>
      <c r="O18" s="143"/>
      <c r="P18" s="143"/>
      <c r="Q18" s="143"/>
      <c r="R18" s="144"/>
      <c r="S18" s="145"/>
      <c r="T18" s="145"/>
      <c r="U18" s="143"/>
    </row>
    <row r="19" spans="1:21" x14ac:dyDescent="0.3">
      <c r="A19" s="143" t="s">
        <v>380</v>
      </c>
      <c r="B19" s="147">
        <f>VLOOKUP(A19,'Product Cost - Price'!$D$5:$U$252,18,FALSE)</f>
        <v>18.900000000000002</v>
      </c>
      <c r="C19" s="147">
        <f>VLOOKUP(A19,'Product Cost - Price'!$D$5:$U$252,17,FALSE)</f>
        <v>18.217176782347245</v>
      </c>
      <c r="D19" s="145">
        <v>0</v>
      </c>
      <c r="E19" s="145">
        <v>0</v>
      </c>
      <c r="F19" s="143" t="s">
        <v>23</v>
      </c>
      <c r="G19" s="143"/>
      <c r="H19" s="143">
        <v>18.600000000000001</v>
      </c>
      <c r="I19" s="143">
        <v>7.3999999999999996E-2</v>
      </c>
      <c r="J19" s="143"/>
      <c r="K19" s="147">
        <f t="shared" si="0"/>
        <v>0.30000000000000071</v>
      </c>
      <c r="L19" s="147">
        <f t="shared" si="1"/>
        <v>18.143176782347243</v>
      </c>
      <c r="M19" s="143" t="s">
        <v>786</v>
      </c>
      <c r="N19" s="143"/>
      <c r="O19" s="143"/>
      <c r="P19" s="143"/>
      <c r="Q19" s="143"/>
      <c r="R19" s="144"/>
      <c r="S19" s="145"/>
      <c r="T19" s="145"/>
      <c r="U19" s="143"/>
    </row>
    <row r="20" spans="1:21" x14ac:dyDescent="0.3">
      <c r="A20" s="143">
        <v>47</v>
      </c>
      <c r="B20" s="143">
        <v>13.56</v>
      </c>
      <c r="C20" s="147">
        <v>0</v>
      </c>
      <c r="D20" s="145">
        <v>0</v>
      </c>
      <c r="E20" s="145">
        <v>0</v>
      </c>
      <c r="F20" s="143" t="s">
        <v>23</v>
      </c>
      <c r="G20" s="143"/>
      <c r="H20" s="143">
        <v>13.56</v>
      </c>
      <c r="I20" s="143">
        <v>0</v>
      </c>
      <c r="J20" s="143"/>
      <c r="K20" s="147">
        <f t="shared" si="0"/>
        <v>0</v>
      </c>
      <c r="L20" s="147">
        <f t="shared" si="1"/>
        <v>0</v>
      </c>
      <c r="M20" s="143" t="s">
        <v>787</v>
      </c>
      <c r="N20" s="143"/>
      <c r="O20" s="143"/>
      <c r="P20" s="143"/>
      <c r="Q20" s="143"/>
      <c r="R20" s="144"/>
      <c r="S20" s="145"/>
      <c r="T20" s="145"/>
      <c r="U20" s="143"/>
    </row>
    <row r="21" spans="1:21" x14ac:dyDescent="0.3">
      <c r="A21" s="143" t="s">
        <v>137</v>
      </c>
      <c r="B21" s="147">
        <f>VLOOKUP(A21,'Product Cost - Price'!$D$5:$U$252,18,FALSE)</f>
        <v>32.4</v>
      </c>
      <c r="C21" s="147">
        <f>VLOOKUP(A21,'Product Cost - Price'!$D$5:$U$252,17,FALSE)</f>
        <v>28.170731707317074</v>
      </c>
      <c r="D21" s="143">
        <v>0</v>
      </c>
      <c r="E21" s="143">
        <v>0</v>
      </c>
      <c r="F21" s="143" t="s">
        <v>23</v>
      </c>
      <c r="G21" s="143"/>
      <c r="H21" s="143">
        <v>24.7</v>
      </c>
      <c r="I21" s="143">
        <v>19.100000000000001</v>
      </c>
      <c r="J21" s="143"/>
      <c r="K21" s="147">
        <f t="shared" si="0"/>
        <v>7.6999999999999993</v>
      </c>
      <c r="L21" s="147">
        <f t="shared" si="1"/>
        <v>9.0707317073170728</v>
      </c>
      <c r="M21" s="143" t="s">
        <v>786</v>
      </c>
      <c r="N21" s="143"/>
      <c r="O21" s="143"/>
      <c r="P21" s="143"/>
      <c r="Q21" s="143"/>
      <c r="R21" s="143"/>
      <c r="S21" s="143"/>
      <c r="T21" s="143"/>
      <c r="U21" s="143"/>
    </row>
    <row r="22" spans="1:21" x14ac:dyDescent="0.3">
      <c r="A22" s="143" t="s">
        <v>359</v>
      </c>
      <c r="B22" s="147" t="e">
        <f>VLOOKUP(A22,'Product Cost - Price'!$D$5:$U$252,18,FALSE)</f>
        <v>#N/A</v>
      </c>
      <c r="C22" s="147">
        <v>0</v>
      </c>
      <c r="D22" s="145">
        <v>0</v>
      </c>
      <c r="E22" s="145">
        <v>0</v>
      </c>
      <c r="F22" s="143" t="s">
        <v>23</v>
      </c>
      <c r="G22" s="143"/>
      <c r="H22" s="143">
        <v>26.75</v>
      </c>
      <c r="I22" s="143">
        <v>7.3999999999999996E-2</v>
      </c>
      <c r="J22" s="143"/>
      <c r="K22" s="150" t="str">
        <f t="shared" si="0"/>
        <v>n/a</v>
      </c>
      <c r="L22" s="150">
        <f t="shared" si="1"/>
        <v>-7.3999999999999996E-2</v>
      </c>
      <c r="M22" s="143" t="s">
        <v>786</v>
      </c>
      <c r="N22" s="143"/>
      <c r="O22" s="143"/>
      <c r="P22" s="143"/>
      <c r="Q22" s="143"/>
      <c r="R22" s="144"/>
      <c r="S22" s="145"/>
      <c r="T22" s="145"/>
      <c r="U22" s="143"/>
    </row>
    <row r="23" spans="1:21" x14ac:dyDescent="0.3">
      <c r="A23" s="143" t="s">
        <v>333</v>
      </c>
      <c r="B23" s="147" t="e">
        <f>VLOOKUP(A23,'Product Cost - Price'!$D$5:$U$252,18,FALSE)</f>
        <v>#N/A</v>
      </c>
      <c r="C23" s="147">
        <v>0</v>
      </c>
      <c r="D23" s="145">
        <v>0</v>
      </c>
      <c r="E23" s="145">
        <v>0</v>
      </c>
      <c r="F23" s="143" t="s">
        <v>23</v>
      </c>
      <c r="G23" s="143"/>
      <c r="H23" s="143">
        <v>39.21</v>
      </c>
      <c r="I23" s="143">
        <v>7.3999999999999996E-2</v>
      </c>
      <c r="J23" s="143"/>
      <c r="K23" s="150" t="str">
        <f t="shared" si="0"/>
        <v>n/a</v>
      </c>
      <c r="L23" s="150">
        <f t="shared" si="1"/>
        <v>-7.3999999999999996E-2</v>
      </c>
      <c r="M23" s="143" t="s">
        <v>786</v>
      </c>
      <c r="N23" s="143"/>
      <c r="O23" s="143"/>
      <c r="P23" s="143"/>
      <c r="Q23" s="143"/>
      <c r="R23" s="143"/>
      <c r="S23" s="143"/>
      <c r="T23" s="143"/>
      <c r="U23" s="143"/>
    </row>
    <row r="24" spans="1:21" x14ac:dyDescent="0.3">
      <c r="A24" s="143" t="s">
        <v>371</v>
      </c>
      <c r="B24" s="147" t="e">
        <f>VLOOKUP(A24,'Product Cost - Price'!$D$5:$U$252,18,FALSE)</f>
        <v>#N/A</v>
      </c>
      <c r="C24" s="147">
        <v>0</v>
      </c>
      <c r="D24" s="145">
        <v>0</v>
      </c>
      <c r="E24" s="145">
        <v>0</v>
      </c>
      <c r="F24" s="143" t="s">
        <v>23</v>
      </c>
      <c r="G24" s="143"/>
      <c r="H24" s="143">
        <v>39.21</v>
      </c>
      <c r="I24" s="143">
        <v>7.3999999999999996E-2</v>
      </c>
      <c r="J24" s="143"/>
      <c r="K24" s="150" t="str">
        <f t="shared" si="0"/>
        <v>n/a</v>
      </c>
      <c r="L24" s="150">
        <f t="shared" si="1"/>
        <v>-7.3999999999999996E-2</v>
      </c>
      <c r="M24" s="143" t="s">
        <v>786</v>
      </c>
      <c r="N24" s="143"/>
      <c r="O24" s="143"/>
      <c r="P24" s="143"/>
      <c r="Q24" s="143"/>
      <c r="R24" s="144"/>
      <c r="S24" s="145"/>
      <c r="T24" s="145"/>
      <c r="U24" s="143"/>
    </row>
    <row r="25" spans="1:21" x14ac:dyDescent="0.3">
      <c r="A25" s="143" t="s">
        <v>118</v>
      </c>
      <c r="B25" s="147" t="e">
        <f>VLOOKUP(A25,'Product Cost - Price'!$D$5:$U$252,18,FALSE)</f>
        <v>#N/A</v>
      </c>
      <c r="C25" s="147">
        <v>0</v>
      </c>
      <c r="D25" s="145">
        <v>0</v>
      </c>
      <c r="E25" s="145">
        <v>0</v>
      </c>
      <c r="F25" s="143" t="s">
        <v>23</v>
      </c>
      <c r="G25" s="143"/>
      <c r="H25" s="143">
        <v>39.21</v>
      </c>
      <c r="I25" s="143">
        <v>7.3999999999999996E-2</v>
      </c>
      <c r="J25" s="143"/>
      <c r="K25" s="150" t="str">
        <f t="shared" si="0"/>
        <v>n/a</v>
      </c>
      <c r="L25" s="150">
        <f t="shared" si="1"/>
        <v>-7.3999999999999996E-2</v>
      </c>
      <c r="M25" s="143" t="s">
        <v>786</v>
      </c>
      <c r="N25" s="143"/>
      <c r="O25" s="143"/>
      <c r="P25" s="143"/>
      <c r="Q25" s="143"/>
      <c r="R25" s="144"/>
      <c r="S25" s="145"/>
      <c r="T25" s="145"/>
      <c r="U25" s="143"/>
    </row>
    <row r="26" spans="1:21" x14ac:dyDescent="0.3">
      <c r="A26" s="143" t="s">
        <v>369</v>
      </c>
      <c r="B26" s="147" t="e">
        <f>VLOOKUP(A26,'Product Cost - Price'!$D$5:$U$252,18,FALSE)</f>
        <v>#N/A</v>
      </c>
      <c r="C26" s="147">
        <v>0</v>
      </c>
      <c r="D26" s="145">
        <v>0</v>
      </c>
      <c r="E26" s="145">
        <v>0</v>
      </c>
      <c r="F26" s="143" t="s">
        <v>23</v>
      </c>
      <c r="G26" s="143"/>
      <c r="H26" s="143">
        <v>25.66</v>
      </c>
      <c r="I26" s="143">
        <v>7.3999999999999996E-2</v>
      </c>
      <c r="J26" s="143"/>
      <c r="K26" s="150" t="str">
        <f t="shared" si="0"/>
        <v>n/a</v>
      </c>
      <c r="L26" s="150">
        <f t="shared" si="1"/>
        <v>-7.3999999999999996E-2</v>
      </c>
      <c r="M26" s="143" t="s">
        <v>786</v>
      </c>
      <c r="N26" s="143"/>
      <c r="O26" s="143"/>
      <c r="P26" s="143"/>
      <c r="Q26" s="143"/>
      <c r="R26" s="144"/>
      <c r="S26" s="145"/>
      <c r="T26" s="145"/>
      <c r="U26" s="143"/>
    </row>
    <row r="27" spans="1:21" x14ac:dyDescent="0.3">
      <c r="A27" s="143">
        <v>141</v>
      </c>
      <c r="B27" s="143">
        <v>12.88</v>
      </c>
      <c r="C27" s="147">
        <v>0</v>
      </c>
      <c r="D27" s="145">
        <v>0</v>
      </c>
      <c r="E27" s="145">
        <v>0</v>
      </c>
      <c r="F27" s="143" t="s">
        <v>23</v>
      </c>
      <c r="G27" s="143"/>
      <c r="H27" s="143">
        <v>12.88</v>
      </c>
      <c r="I27" s="143">
        <v>7.3999999999999996E-2</v>
      </c>
      <c r="J27" s="143"/>
      <c r="K27" s="147">
        <f t="shared" si="0"/>
        <v>0</v>
      </c>
      <c r="L27" s="147">
        <f t="shared" si="1"/>
        <v>-7.3999999999999996E-2</v>
      </c>
      <c r="M27" s="143" t="s">
        <v>787</v>
      </c>
      <c r="N27" s="143"/>
      <c r="O27" s="143"/>
      <c r="P27" s="143"/>
      <c r="Q27" s="143"/>
      <c r="R27" s="144"/>
      <c r="S27" s="145"/>
      <c r="T27" s="145"/>
      <c r="U27" s="143"/>
    </row>
    <row r="28" spans="1:21" x14ac:dyDescent="0.3">
      <c r="A28" s="143" t="s">
        <v>240</v>
      </c>
      <c r="B28" s="147" t="e">
        <f>VLOOKUP(A28,'Product Cost - Price'!$D$5:$U$252,18,FALSE)</f>
        <v>#N/A</v>
      </c>
      <c r="C28" s="147" t="e">
        <f>VLOOKUP(A28,'Product Cost - Price'!$D$5:$U$252,17,FALSE)</f>
        <v>#N/A</v>
      </c>
      <c r="D28" s="143">
        <v>32.950000000000003</v>
      </c>
      <c r="E28" s="143">
        <v>0</v>
      </c>
      <c r="F28" s="143" t="s">
        <v>23</v>
      </c>
      <c r="G28" s="143"/>
      <c r="H28" s="143">
        <v>24.3</v>
      </c>
      <c r="I28" s="143">
        <v>21.56</v>
      </c>
      <c r="J28" s="143"/>
      <c r="K28" s="147" t="str">
        <f t="shared" si="0"/>
        <v>n/a</v>
      </c>
      <c r="L28" s="147" t="str">
        <f t="shared" si="1"/>
        <v>n/a</v>
      </c>
      <c r="M28" s="143" t="s">
        <v>786</v>
      </c>
      <c r="N28" s="143"/>
      <c r="O28" s="143"/>
      <c r="P28" s="143"/>
      <c r="Q28" s="143"/>
      <c r="R28" s="143"/>
      <c r="S28" s="143"/>
      <c r="T28" s="143"/>
      <c r="U28" s="143"/>
    </row>
    <row r="29" spans="1:21" x14ac:dyDescent="0.3">
      <c r="A29" s="143" t="s">
        <v>324</v>
      </c>
      <c r="B29" s="147" t="e">
        <f>VLOOKUP(A29,'Product Cost - Price'!$D$5:$U$252,18,FALSE)</f>
        <v>#N/A</v>
      </c>
      <c r="C29" s="147">
        <v>0</v>
      </c>
      <c r="D29" s="145">
        <v>0</v>
      </c>
      <c r="E29" s="145">
        <v>0</v>
      </c>
      <c r="F29" s="143" t="s">
        <v>23</v>
      </c>
      <c r="G29" s="143"/>
      <c r="H29" s="143">
        <v>26.31</v>
      </c>
      <c r="I29" s="143">
        <v>7.3999999999999996E-2</v>
      </c>
      <c r="J29" s="143"/>
      <c r="K29" s="150" t="str">
        <f t="shared" si="0"/>
        <v>n/a</v>
      </c>
      <c r="L29" s="150">
        <f t="shared" si="1"/>
        <v>-7.3999999999999996E-2</v>
      </c>
      <c r="M29" s="143" t="s">
        <v>786</v>
      </c>
      <c r="N29" s="143"/>
      <c r="O29" s="143"/>
      <c r="P29" s="143"/>
      <c r="Q29" s="143"/>
      <c r="R29" s="143"/>
      <c r="S29" s="143"/>
      <c r="T29" s="143"/>
      <c r="U29" s="143"/>
    </row>
    <row r="30" spans="1:21" x14ac:dyDescent="0.3">
      <c r="A30" s="143" t="s">
        <v>391</v>
      </c>
      <c r="B30" s="147" t="e">
        <f>VLOOKUP(A30,'Product Cost - Price'!$D$5:$U$252,18,FALSE)</f>
        <v>#N/A</v>
      </c>
      <c r="C30" s="147">
        <v>0</v>
      </c>
      <c r="D30" s="145">
        <v>0</v>
      </c>
      <c r="E30" s="145">
        <v>0</v>
      </c>
      <c r="F30" s="143" t="s">
        <v>23</v>
      </c>
      <c r="G30" s="143"/>
      <c r="H30" s="143">
        <v>28.23</v>
      </c>
      <c r="I30" s="143">
        <v>7.3999999999999996E-2</v>
      </c>
      <c r="J30" s="143"/>
      <c r="K30" s="150" t="str">
        <f t="shared" si="0"/>
        <v>n/a</v>
      </c>
      <c r="L30" s="150">
        <f t="shared" si="1"/>
        <v>-7.3999999999999996E-2</v>
      </c>
      <c r="M30" s="143" t="s">
        <v>786</v>
      </c>
      <c r="N30" s="143"/>
      <c r="O30" s="143"/>
      <c r="P30" s="143"/>
      <c r="Q30" s="143"/>
      <c r="R30" s="144"/>
      <c r="S30" s="145"/>
      <c r="T30" s="145"/>
      <c r="U30" s="143"/>
    </row>
    <row r="31" spans="1:21" x14ac:dyDescent="0.3">
      <c r="A31" s="143" t="s">
        <v>361</v>
      </c>
      <c r="B31" s="147" t="e">
        <f>VLOOKUP(A31,'Product Cost - Price'!$D$5:$U$252,18,FALSE)</f>
        <v>#N/A</v>
      </c>
      <c r="C31" s="147">
        <v>0</v>
      </c>
      <c r="D31" s="145">
        <v>0</v>
      </c>
      <c r="E31" s="145">
        <v>0</v>
      </c>
      <c r="F31" s="143" t="s">
        <v>23</v>
      </c>
      <c r="G31" s="143"/>
      <c r="H31" s="143">
        <v>23.32</v>
      </c>
      <c r="I31" s="143">
        <v>7.3999999999999996E-2</v>
      </c>
      <c r="J31" s="143"/>
      <c r="K31" s="150" t="str">
        <f t="shared" si="0"/>
        <v>n/a</v>
      </c>
      <c r="L31" s="150">
        <f t="shared" si="1"/>
        <v>-7.3999999999999996E-2</v>
      </c>
      <c r="M31" s="143" t="s">
        <v>786</v>
      </c>
      <c r="N31" s="143"/>
      <c r="O31" s="143"/>
      <c r="P31" s="143"/>
      <c r="Q31" s="143"/>
      <c r="R31" s="144"/>
      <c r="S31" s="145"/>
      <c r="T31" s="145"/>
      <c r="U31" s="143"/>
    </row>
    <row r="32" spans="1:21" x14ac:dyDescent="0.3">
      <c r="A32" s="143" t="s">
        <v>298</v>
      </c>
      <c r="B32" s="147">
        <f>VLOOKUP(A32,'Product Cost - Price'!$D$5:$U$252,18,FALSE)</f>
        <v>24.900000000000002</v>
      </c>
      <c r="C32" s="147">
        <v>0</v>
      </c>
      <c r="D32" s="143">
        <v>22</v>
      </c>
      <c r="E32" s="143">
        <v>0</v>
      </c>
      <c r="F32" s="143" t="s">
        <v>23</v>
      </c>
      <c r="G32" s="143"/>
      <c r="H32" s="143">
        <v>22</v>
      </c>
      <c r="I32" s="143">
        <v>22</v>
      </c>
      <c r="J32" s="143"/>
      <c r="K32" s="147">
        <f t="shared" si="0"/>
        <v>2.9000000000000021</v>
      </c>
      <c r="L32" s="147">
        <f t="shared" si="1"/>
        <v>-22</v>
      </c>
      <c r="M32" s="143" t="s">
        <v>786</v>
      </c>
      <c r="N32" s="143"/>
      <c r="O32" s="143"/>
      <c r="P32" s="143"/>
      <c r="Q32" s="143"/>
      <c r="R32" s="143"/>
      <c r="S32" s="143"/>
      <c r="T32" s="143"/>
      <c r="U32" s="143"/>
    </row>
    <row r="33" spans="1:21" x14ac:dyDescent="0.3">
      <c r="A33" s="143" t="s">
        <v>189</v>
      </c>
      <c r="B33" s="147">
        <f>VLOOKUP(A33,'Product Cost - Price'!$D$5:$U$252,18,FALSE)</f>
        <v>23.3</v>
      </c>
      <c r="C33" s="147">
        <f>VLOOKUP(A33,'Product Cost - Price'!$D$5:$U$252,17,FALSE)</f>
        <v>20.696301075268817</v>
      </c>
      <c r="D33" s="143">
        <v>35</v>
      </c>
      <c r="E33" s="143">
        <v>0</v>
      </c>
      <c r="F33" s="143" t="s">
        <v>23</v>
      </c>
      <c r="G33" s="143"/>
      <c r="H33" s="143">
        <v>22.1</v>
      </c>
      <c r="I33" s="143">
        <v>19.670000000000002</v>
      </c>
      <c r="J33" s="143"/>
      <c r="K33" s="147">
        <f t="shared" si="0"/>
        <v>1.1999999999999993</v>
      </c>
      <c r="L33" s="147">
        <f t="shared" si="1"/>
        <v>1.0263010752688153</v>
      </c>
      <c r="M33" s="143" t="s">
        <v>786</v>
      </c>
      <c r="N33" s="143"/>
      <c r="O33" s="143"/>
      <c r="P33" s="143"/>
      <c r="Q33" s="143"/>
      <c r="R33" s="143"/>
      <c r="S33" s="143"/>
      <c r="T33" s="143"/>
      <c r="U33" s="143"/>
    </row>
    <row r="34" spans="1:21" x14ac:dyDescent="0.3">
      <c r="A34" s="143" t="s">
        <v>332</v>
      </c>
      <c r="B34" s="147" t="e">
        <f>VLOOKUP(A34,'Product Cost - Price'!$D$5:$U$252,18,FALSE)</f>
        <v>#N/A</v>
      </c>
      <c r="C34" s="147">
        <v>0</v>
      </c>
      <c r="D34" s="145">
        <v>0</v>
      </c>
      <c r="E34" s="145">
        <v>0</v>
      </c>
      <c r="F34" s="143" t="s">
        <v>23</v>
      </c>
      <c r="G34" s="143"/>
      <c r="H34" s="143">
        <v>1.31</v>
      </c>
      <c r="I34" s="143">
        <v>7.3999999999999996E-2</v>
      </c>
      <c r="J34" s="143"/>
      <c r="K34" s="150" t="str">
        <f t="shared" si="0"/>
        <v>n/a</v>
      </c>
      <c r="L34" s="150">
        <f t="shared" si="1"/>
        <v>-7.3999999999999996E-2</v>
      </c>
      <c r="M34" s="143" t="s">
        <v>786</v>
      </c>
      <c r="N34" s="143"/>
      <c r="O34" s="143"/>
      <c r="P34" s="143"/>
      <c r="Q34" s="143"/>
      <c r="R34" s="143"/>
      <c r="S34" s="143"/>
      <c r="T34" s="143"/>
      <c r="U34" s="143"/>
    </row>
    <row r="35" spans="1:21" x14ac:dyDescent="0.3">
      <c r="A35" s="143" t="s">
        <v>368</v>
      </c>
      <c r="B35" s="147" t="e">
        <f>VLOOKUP(A35,'Product Cost - Price'!$D$5:$U$252,18,FALSE)</f>
        <v>#N/A</v>
      </c>
      <c r="C35" s="147">
        <v>0</v>
      </c>
      <c r="D35" s="145">
        <v>0</v>
      </c>
      <c r="E35" s="145">
        <v>0</v>
      </c>
      <c r="F35" s="143" t="s">
        <v>23</v>
      </c>
      <c r="G35" s="143"/>
      <c r="H35" s="143">
        <v>1.31</v>
      </c>
      <c r="I35" s="143">
        <v>7.3999999999999996E-2</v>
      </c>
      <c r="J35" s="143"/>
      <c r="K35" s="150" t="str">
        <f t="shared" si="0"/>
        <v>n/a</v>
      </c>
      <c r="L35" s="150">
        <f t="shared" si="1"/>
        <v>-7.3999999999999996E-2</v>
      </c>
      <c r="M35" s="143" t="s">
        <v>786</v>
      </c>
      <c r="N35" s="143"/>
      <c r="O35" s="143"/>
      <c r="P35" s="143"/>
      <c r="Q35" s="143"/>
      <c r="R35" s="144"/>
      <c r="S35" s="145"/>
      <c r="T35" s="145"/>
      <c r="U35" s="143"/>
    </row>
    <row r="36" spans="1:21" x14ac:dyDescent="0.3">
      <c r="A36" s="143" t="s">
        <v>36</v>
      </c>
      <c r="B36" s="147">
        <f>VLOOKUP(A36,'Product Cost - Price'!$D$5:$U$252,18,FALSE)</f>
        <v>17.8</v>
      </c>
      <c r="C36" s="147">
        <f>VLOOKUP(A36,'Product Cost - Price'!$D$5:$U$252,17,FALSE)</f>
        <v>16.592479674796749</v>
      </c>
      <c r="D36" s="143">
        <v>29.85</v>
      </c>
      <c r="E36" s="143">
        <v>0</v>
      </c>
      <c r="F36" s="143" t="s">
        <v>23</v>
      </c>
      <c r="G36" s="143"/>
      <c r="H36" s="143">
        <v>16</v>
      </c>
      <c r="I36" s="143">
        <v>14.84</v>
      </c>
      <c r="J36" s="143"/>
      <c r="K36" s="147">
        <f t="shared" si="0"/>
        <v>1.8000000000000007</v>
      </c>
      <c r="L36" s="147">
        <f t="shared" si="1"/>
        <v>1.7524796747967493</v>
      </c>
      <c r="M36" s="143" t="s">
        <v>786</v>
      </c>
      <c r="N36" s="143"/>
      <c r="O36" s="143"/>
      <c r="P36" s="143"/>
      <c r="Q36" s="143"/>
      <c r="R36" s="143"/>
      <c r="S36" s="143"/>
      <c r="T36" s="143"/>
      <c r="U36" s="143"/>
    </row>
    <row r="37" spans="1:21" x14ac:dyDescent="0.3">
      <c r="A37" s="143" t="s">
        <v>350</v>
      </c>
      <c r="B37" s="147" t="e">
        <f>VLOOKUP(A37,'Product Cost - Price'!$D$5:$U$252,18,FALSE)</f>
        <v>#N/A</v>
      </c>
      <c r="C37" s="147">
        <v>0</v>
      </c>
      <c r="D37" s="145">
        <v>0</v>
      </c>
      <c r="E37" s="145">
        <v>0</v>
      </c>
      <c r="F37" s="143" t="s">
        <v>23</v>
      </c>
      <c r="G37" s="143"/>
      <c r="H37" s="143">
        <v>25.5</v>
      </c>
      <c r="I37" s="143">
        <v>7.3999999999999996E-2</v>
      </c>
      <c r="J37" s="143"/>
      <c r="K37" s="150" t="str">
        <f t="shared" si="0"/>
        <v>n/a</v>
      </c>
      <c r="L37" s="150">
        <f t="shared" si="1"/>
        <v>-7.3999999999999996E-2</v>
      </c>
      <c r="M37" s="143" t="s">
        <v>786</v>
      </c>
      <c r="N37" s="143"/>
      <c r="O37" s="143"/>
      <c r="P37" s="143"/>
      <c r="Q37" s="143"/>
      <c r="R37" s="144"/>
      <c r="S37" s="145"/>
      <c r="T37" s="145"/>
      <c r="U37" s="143"/>
    </row>
    <row r="38" spans="1:21" x14ac:dyDescent="0.3">
      <c r="A38" s="143">
        <v>124</v>
      </c>
      <c r="B38" s="143">
        <v>13.98</v>
      </c>
      <c r="C38" s="147">
        <v>0</v>
      </c>
      <c r="D38" s="145">
        <v>0</v>
      </c>
      <c r="E38" s="145">
        <v>0</v>
      </c>
      <c r="F38" s="143" t="s">
        <v>23</v>
      </c>
      <c r="G38" s="143"/>
      <c r="H38" s="143">
        <v>13.98</v>
      </c>
      <c r="I38" s="143">
        <v>7.3999999999999996E-2</v>
      </c>
      <c r="J38" s="143"/>
      <c r="K38" s="147">
        <f t="shared" si="0"/>
        <v>0</v>
      </c>
      <c r="L38" s="147">
        <f t="shared" si="1"/>
        <v>-7.3999999999999996E-2</v>
      </c>
      <c r="M38" s="143" t="s">
        <v>787</v>
      </c>
      <c r="N38" s="143"/>
      <c r="O38" s="143"/>
      <c r="P38" s="143"/>
      <c r="Q38" s="143"/>
      <c r="R38" s="144"/>
      <c r="S38" s="145"/>
      <c r="T38" s="145"/>
      <c r="U38" s="143"/>
    </row>
    <row r="39" spans="1:21" x14ac:dyDescent="0.3">
      <c r="A39" s="143" t="s">
        <v>143</v>
      </c>
      <c r="B39" s="147">
        <f>VLOOKUP(A39,'Product Cost - Price'!$D$5:$U$252,18,FALSE)</f>
        <v>27.400000000000002</v>
      </c>
      <c r="C39" s="147">
        <f>VLOOKUP(A39,'Product Cost - Price'!$D$5:$U$252,17,FALSE)</f>
        <v>24.335537993262953</v>
      </c>
      <c r="D39" s="143">
        <v>39.1</v>
      </c>
      <c r="E39" s="143">
        <v>0</v>
      </c>
      <c r="F39" s="143" t="s">
        <v>23</v>
      </c>
      <c r="G39" s="143"/>
      <c r="H39" s="143">
        <v>26.2</v>
      </c>
      <c r="I39" s="143">
        <v>23.28</v>
      </c>
      <c r="J39" s="143"/>
      <c r="K39" s="147">
        <f t="shared" si="0"/>
        <v>1.2000000000000028</v>
      </c>
      <c r="L39" s="147">
        <f t="shared" si="1"/>
        <v>1.0555379932629521</v>
      </c>
      <c r="M39" s="143" t="s">
        <v>786</v>
      </c>
      <c r="N39" s="143"/>
      <c r="O39" s="143"/>
      <c r="P39" s="143"/>
      <c r="Q39" s="143"/>
      <c r="R39" s="143"/>
      <c r="S39" s="143"/>
      <c r="T39" s="143"/>
      <c r="U39" s="143"/>
    </row>
    <row r="40" spans="1:21" x14ac:dyDescent="0.3">
      <c r="A40" s="143" t="s">
        <v>401</v>
      </c>
      <c r="B40" s="147" t="e">
        <f>VLOOKUP(A40,'Product Cost - Price'!$D$5:$U$252,18,FALSE)</f>
        <v>#N/A</v>
      </c>
      <c r="C40" s="147">
        <v>0</v>
      </c>
      <c r="D40" s="145">
        <v>0</v>
      </c>
      <c r="E40" s="145">
        <v>0</v>
      </c>
      <c r="F40" s="143" t="s">
        <v>23</v>
      </c>
      <c r="G40" s="143"/>
      <c r="H40" s="143">
        <v>25.5</v>
      </c>
      <c r="I40" s="143">
        <v>7.3999999999999996E-2</v>
      </c>
      <c r="J40" s="143"/>
      <c r="K40" s="150" t="str">
        <f t="shared" si="0"/>
        <v>n/a</v>
      </c>
      <c r="L40" s="150">
        <f t="shared" si="1"/>
        <v>-7.3999999999999996E-2</v>
      </c>
      <c r="M40" s="143" t="s">
        <v>786</v>
      </c>
      <c r="N40" s="143"/>
      <c r="O40" s="143"/>
      <c r="P40" s="143"/>
      <c r="Q40" s="143"/>
      <c r="R40" s="144"/>
      <c r="S40" s="145"/>
      <c r="T40" s="145"/>
      <c r="U40" s="143"/>
    </row>
    <row r="41" spans="1:21" x14ac:dyDescent="0.3">
      <c r="A41" s="143" t="s">
        <v>330</v>
      </c>
      <c r="B41" s="147" t="e">
        <f>VLOOKUP(A41,'Product Cost - Price'!$D$5:$U$252,18,FALSE)</f>
        <v>#N/A</v>
      </c>
      <c r="C41" s="147">
        <v>0</v>
      </c>
      <c r="D41" s="145">
        <v>0</v>
      </c>
      <c r="E41" s="145">
        <v>0</v>
      </c>
      <c r="F41" s="143" t="s">
        <v>23</v>
      </c>
      <c r="G41" s="143"/>
      <c r="H41" s="143">
        <v>1.3</v>
      </c>
      <c r="I41" s="143">
        <v>7.3999999999999996E-2</v>
      </c>
      <c r="J41" s="143"/>
      <c r="K41" s="150" t="str">
        <f t="shared" si="0"/>
        <v>n/a</v>
      </c>
      <c r="L41" s="150">
        <f t="shared" si="1"/>
        <v>-7.3999999999999996E-2</v>
      </c>
      <c r="M41" s="143" t="s">
        <v>786</v>
      </c>
      <c r="N41" s="143"/>
      <c r="O41" s="143"/>
      <c r="P41" s="143"/>
      <c r="Q41" s="143"/>
      <c r="R41" s="143"/>
      <c r="S41" s="143"/>
      <c r="T41" s="143"/>
      <c r="U41" s="143"/>
    </row>
    <row r="42" spans="1:21" x14ac:dyDescent="0.3">
      <c r="A42" s="143" t="s">
        <v>340</v>
      </c>
      <c r="B42" s="147" t="e">
        <f>VLOOKUP(A42,'Product Cost - Price'!$D$5:$U$252,18,FALSE)</f>
        <v>#N/A</v>
      </c>
      <c r="C42" s="147">
        <v>0</v>
      </c>
      <c r="D42" s="145">
        <v>0</v>
      </c>
      <c r="E42" s="145">
        <v>0</v>
      </c>
      <c r="F42" s="143" t="s">
        <v>23</v>
      </c>
      <c r="G42" s="143"/>
      <c r="H42" s="143">
        <v>1.5</v>
      </c>
      <c r="I42" s="143">
        <v>7.3999999999999996E-2</v>
      </c>
      <c r="J42" s="143"/>
      <c r="K42" s="150" t="str">
        <f t="shared" si="0"/>
        <v>n/a</v>
      </c>
      <c r="L42" s="150">
        <f t="shared" si="1"/>
        <v>-7.3999999999999996E-2</v>
      </c>
      <c r="M42" s="143" t="s">
        <v>786</v>
      </c>
      <c r="N42" s="143"/>
      <c r="O42" s="143"/>
      <c r="P42" s="143"/>
      <c r="Q42" s="143"/>
      <c r="R42" s="143"/>
      <c r="S42" s="143"/>
      <c r="T42" s="143"/>
      <c r="U42" s="143"/>
    </row>
    <row r="43" spans="1:21" x14ac:dyDescent="0.3">
      <c r="A43" s="143" t="s">
        <v>366</v>
      </c>
      <c r="B43" s="147" t="e">
        <f>VLOOKUP(A43,'Product Cost - Price'!$D$5:$U$252,18,FALSE)</f>
        <v>#N/A</v>
      </c>
      <c r="C43" s="147">
        <v>0</v>
      </c>
      <c r="D43" s="145">
        <v>0</v>
      </c>
      <c r="E43" s="145">
        <v>0</v>
      </c>
      <c r="F43" s="143" t="s">
        <v>23</v>
      </c>
      <c r="G43" s="143"/>
      <c r="H43" s="143">
        <v>1.3</v>
      </c>
      <c r="I43" s="143">
        <v>7.3999999999999996E-2</v>
      </c>
      <c r="J43" s="143"/>
      <c r="K43" s="150" t="str">
        <f t="shared" si="0"/>
        <v>n/a</v>
      </c>
      <c r="L43" s="150">
        <f t="shared" si="1"/>
        <v>-7.3999999999999996E-2</v>
      </c>
      <c r="M43" s="143" t="s">
        <v>786</v>
      </c>
      <c r="N43" s="143"/>
      <c r="O43" s="143"/>
      <c r="P43" s="143"/>
      <c r="Q43" s="143"/>
      <c r="R43" s="144"/>
      <c r="S43" s="145"/>
      <c r="T43" s="145"/>
      <c r="U43" s="143"/>
    </row>
    <row r="44" spans="1:21" x14ac:dyDescent="0.3">
      <c r="A44" s="143" t="s">
        <v>183</v>
      </c>
      <c r="B44" s="147" t="e">
        <f>VLOOKUP(A44,'Product Cost - Price'!$D$5:$U$252,18,FALSE)</f>
        <v>#N/A</v>
      </c>
      <c r="C44" s="147" t="e">
        <f>VLOOKUP(A44,'Product Cost - Price'!$D$5:$U$252,17,FALSE)</f>
        <v>#N/A</v>
      </c>
      <c r="D44" s="143">
        <v>40.15</v>
      </c>
      <c r="E44" s="143">
        <v>0</v>
      </c>
      <c r="F44" s="143" t="s">
        <v>23</v>
      </c>
      <c r="G44" s="143"/>
      <c r="H44" s="143">
        <v>26.7</v>
      </c>
      <c r="I44" s="143">
        <v>23.71</v>
      </c>
      <c r="J44" s="143"/>
      <c r="K44" s="147" t="str">
        <f t="shared" si="0"/>
        <v>n/a</v>
      </c>
      <c r="L44" s="147" t="str">
        <f t="shared" si="1"/>
        <v>n/a</v>
      </c>
      <c r="M44" s="143" t="s">
        <v>786</v>
      </c>
      <c r="N44" s="143"/>
      <c r="O44" s="143"/>
      <c r="P44" s="143"/>
      <c r="Q44" s="143"/>
      <c r="R44" s="143"/>
      <c r="S44" s="143"/>
      <c r="T44" s="143"/>
      <c r="U44" s="143"/>
    </row>
    <row r="45" spans="1:21" x14ac:dyDescent="0.3">
      <c r="A45" s="143" t="s">
        <v>80</v>
      </c>
      <c r="B45" s="147" t="e">
        <f>VLOOKUP(A45,'Product Cost - Price'!$D$5:$U$252,18,FALSE)</f>
        <v>#N/A</v>
      </c>
      <c r="C45" s="147" t="e">
        <f>VLOOKUP(A45,'Product Cost - Price'!$D$5:$U$252,17,FALSE)</f>
        <v>#N/A</v>
      </c>
      <c r="D45" s="143">
        <v>29</v>
      </c>
      <c r="E45" s="143">
        <v>0</v>
      </c>
      <c r="F45" s="143" t="s">
        <v>23</v>
      </c>
      <c r="G45" s="143"/>
      <c r="H45" s="143">
        <v>18.2</v>
      </c>
      <c r="I45" s="143">
        <v>0</v>
      </c>
      <c r="J45" s="143"/>
      <c r="K45" s="147" t="str">
        <f t="shared" si="0"/>
        <v>n/a</v>
      </c>
      <c r="L45" s="147" t="str">
        <f t="shared" si="1"/>
        <v>n/a</v>
      </c>
      <c r="M45" s="143" t="s">
        <v>786</v>
      </c>
      <c r="N45" s="143"/>
      <c r="O45" s="143"/>
      <c r="P45" s="143"/>
      <c r="Q45" s="143"/>
      <c r="R45" s="143"/>
      <c r="S45" s="143"/>
      <c r="T45" s="143"/>
      <c r="U45" s="143"/>
    </row>
    <row r="46" spans="1:21" x14ac:dyDescent="0.3">
      <c r="A46" s="143" t="s">
        <v>192</v>
      </c>
      <c r="B46" s="147" t="e">
        <f>VLOOKUP(A46,'Product Cost - Price'!$D$5:$U$252,18,FALSE)</f>
        <v>#N/A</v>
      </c>
      <c r="C46" s="147" t="e">
        <f>VLOOKUP(A46,'Product Cost - Price'!$D$5:$U$252,17,FALSE)</f>
        <v>#N/A</v>
      </c>
      <c r="D46" s="143">
        <v>50.25</v>
      </c>
      <c r="E46" s="143">
        <v>0</v>
      </c>
      <c r="F46" s="143" t="s">
        <v>23</v>
      </c>
      <c r="G46" s="143"/>
      <c r="H46" s="143">
        <v>36.799999999999997</v>
      </c>
      <c r="I46" s="143">
        <v>32.729999999999997</v>
      </c>
      <c r="J46" s="143"/>
      <c r="K46" s="147" t="str">
        <f t="shared" si="0"/>
        <v>n/a</v>
      </c>
      <c r="L46" s="147" t="str">
        <f t="shared" si="1"/>
        <v>n/a</v>
      </c>
      <c r="M46" s="143" t="s">
        <v>786</v>
      </c>
      <c r="N46" s="143"/>
      <c r="O46" s="143"/>
      <c r="P46" s="143"/>
      <c r="Q46" s="143"/>
      <c r="R46" s="143"/>
      <c r="S46" s="143"/>
      <c r="T46" s="143"/>
      <c r="U46" s="143"/>
    </row>
    <row r="47" spans="1:21" x14ac:dyDescent="0.3">
      <c r="A47" s="143" t="s">
        <v>352</v>
      </c>
      <c r="B47" s="147" t="e">
        <f>VLOOKUP(A47,'Product Cost - Price'!$D$5:$U$252,18,FALSE)</f>
        <v>#N/A</v>
      </c>
      <c r="C47" s="147">
        <v>0</v>
      </c>
      <c r="D47" s="145">
        <v>0</v>
      </c>
      <c r="E47" s="145">
        <v>0</v>
      </c>
      <c r="F47" s="143" t="s">
        <v>23</v>
      </c>
      <c r="G47" s="143"/>
      <c r="H47" s="143">
        <v>28.69</v>
      </c>
      <c r="I47" s="143">
        <v>7.3999999999999996E-2</v>
      </c>
      <c r="J47" s="143"/>
      <c r="K47" s="150" t="str">
        <f t="shared" si="0"/>
        <v>n/a</v>
      </c>
      <c r="L47" s="150">
        <f t="shared" si="1"/>
        <v>-7.3999999999999996E-2</v>
      </c>
      <c r="M47" s="143" t="s">
        <v>786</v>
      </c>
      <c r="N47" s="143"/>
      <c r="O47" s="143"/>
      <c r="P47" s="143"/>
      <c r="Q47" s="143"/>
      <c r="R47" s="144"/>
      <c r="S47" s="145"/>
      <c r="T47" s="145"/>
      <c r="U47" s="143"/>
    </row>
    <row r="48" spans="1:21" x14ac:dyDescent="0.3">
      <c r="A48" s="143" t="s">
        <v>343</v>
      </c>
      <c r="B48" s="147" t="e">
        <f>VLOOKUP(A48,'Product Cost - Price'!$D$5:$U$252,18,FALSE)</f>
        <v>#N/A</v>
      </c>
      <c r="C48" s="147">
        <v>0</v>
      </c>
      <c r="D48" s="145">
        <v>0</v>
      </c>
      <c r="E48" s="145">
        <v>0</v>
      </c>
      <c r="F48" s="143" t="s">
        <v>23</v>
      </c>
      <c r="G48" s="143"/>
      <c r="H48" s="143">
        <v>19.89</v>
      </c>
      <c r="I48" s="143">
        <v>7.3999999999999996E-2</v>
      </c>
      <c r="J48" s="143"/>
      <c r="K48" s="150" t="str">
        <f t="shared" si="0"/>
        <v>n/a</v>
      </c>
      <c r="L48" s="150">
        <f t="shared" si="1"/>
        <v>-7.3999999999999996E-2</v>
      </c>
      <c r="M48" s="143" t="s">
        <v>786</v>
      </c>
      <c r="N48" s="143"/>
      <c r="O48" s="143"/>
      <c r="P48" s="143"/>
      <c r="Q48" s="143"/>
      <c r="R48" s="143"/>
      <c r="S48" s="143"/>
      <c r="T48" s="143"/>
      <c r="U48" s="143"/>
    </row>
    <row r="49" spans="1:21" x14ac:dyDescent="0.3">
      <c r="A49" s="143" t="s">
        <v>342</v>
      </c>
      <c r="B49" s="147" t="e">
        <f>VLOOKUP(A49,'Product Cost - Price'!$D$5:$U$252,18,FALSE)</f>
        <v>#N/A</v>
      </c>
      <c r="C49" s="147">
        <v>0</v>
      </c>
      <c r="D49" s="145">
        <v>0</v>
      </c>
      <c r="E49" s="145">
        <v>0</v>
      </c>
      <c r="F49" s="143" t="s">
        <v>23</v>
      </c>
      <c r="G49" s="143"/>
      <c r="H49" s="143">
        <v>1.28</v>
      </c>
      <c r="I49" s="143">
        <v>7.3999999999999996E-2</v>
      </c>
      <c r="J49" s="143"/>
      <c r="K49" s="150" t="str">
        <f t="shared" si="0"/>
        <v>n/a</v>
      </c>
      <c r="L49" s="150">
        <f t="shared" si="1"/>
        <v>-7.3999999999999996E-2</v>
      </c>
      <c r="M49" s="143" t="s">
        <v>786</v>
      </c>
      <c r="N49" s="143"/>
      <c r="O49" s="143"/>
      <c r="P49" s="143"/>
      <c r="Q49" s="143"/>
      <c r="R49" s="143"/>
      <c r="S49" s="143"/>
      <c r="T49" s="143"/>
      <c r="U49" s="143"/>
    </row>
    <row r="50" spans="1:21" x14ac:dyDescent="0.3">
      <c r="A50" s="143" t="s">
        <v>260</v>
      </c>
      <c r="B50" s="147" t="e">
        <f>VLOOKUP(A50,'Product Cost - Price'!$D$5:$U$252,18,FALSE)</f>
        <v>#N/A</v>
      </c>
      <c r="C50" s="147" t="e">
        <f>VLOOKUP(A50,'Product Cost - Price'!$D$5:$U$252,17,FALSE)</f>
        <v>#N/A</v>
      </c>
      <c r="D50" s="143">
        <v>29.85</v>
      </c>
      <c r="E50" s="143">
        <v>0</v>
      </c>
      <c r="F50" s="143" t="s">
        <v>23</v>
      </c>
      <c r="G50" s="143"/>
      <c r="H50" s="143">
        <v>20.9</v>
      </c>
      <c r="I50" s="143">
        <v>18.5</v>
      </c>
      <c r="J50" s="143"/>
      <c r="K50" s="147" t="str">
        <f t="shared" si="0"/>
        <v>n/a</v>
      </c>
      <c r="L50" s="147" t="str">
        <f t="shared" si="1"/>
        <v>n/a</v>
      </c>
      <c r="M50" s="143" t="s">
        <v>786</v>
      </c>
      <c r="N50" s="143"/>
      <c r="O50" s="143"/>
      <c r="P50" s="143"/>
      <c r="Q50" s="143"/>
      <c r="R50" s="143"/>
      <c r="S50" s="143"/>
      <c r="T50" s="143"/>
      <c r="U50" s="143"/>
    </row>
    <row r="51" spans="1:21" x14ac:dyDescent="0.3">
      <c r="A51" s="143" t="s">
        <v>82</v>
      </c>
      <c r="B51" s="147" t="e">
        <f>VLOOKUP(A51,'Product Cost - Price'!$D$5:$U$252,18,FALSE)</f>
        <v>#N/A</v>
      </c>
      <c r="C51" s="147" t="e">
        <f>VLOOKUP(A51,'Product Cost - Price'!$D$5:$U$252,17,FALSE)</f>
        <v>#N/A</v>
      </c>
      <c r="D51" s="143">
        <v>30</v>
      </c>
      <c r="E51" s="143">
        <v>0</v>
      </c>
      <c r="F51" s="143" t="s">
        <v>23</v>
      </c>
      <c r="G51" s="143"/>
      <c r="H51" s="143">
        <v>18.899999999999999</v>
      </c>
      <c r="I51" s="143">
        <v>0</v>
      </c>
      <c r="J51" s="143"/>
      <c r="K51" s="147" t="str">
        <f t="shared" si="0"/>
        <v>n/a</v>
      </c>
      <c r="L51" s="147" t="str">
        <f t="shared" si="1"/>
        <v>n/a</v>
      </c>
      <c r="M51" s="143" t="s">
        <v>786</v>
      </c>
      <c r="N51" s="143"/>
      <c r="O51" s="143"/>
      <c r="P51" s="143"/>
      <c r="Q51" s="143"/>
      <c r="R51" s="143"/>
      <c r="S51" s="143"/>
      <c r="T51" s="143"/>
      <c r="U51" s="143"/>
    </row>
    <row r="52" spans="1:21" x14ac:dyDescent="0.3">
      <c r="A52" s="143" t="s">
        <v>174</v>
      </c>
      <c r="B52" s="147">
        <f>VLOOKUP(A52,'Product Cost - Price'!$D$5:$U$252,18,FALSE)</f>
        <v>23.900000000000002</v>
      </c>
      <c r="C52" s="147">
        <f>VLOOKUP(A52,'Product Cost - Price'!$D$5:$U$252,17,FALSE)</f>
        <v>21.241085194375515</v>
      </c>
      <c r="D52" s="143">
        <v>35.15</v>
      </c>
      <c r="E52" s="143">
        <v>0</v>
      </c>
      <c r="F52" s="143" t="s">
        <v>23</v>
      </c>
      <c r="G52" s="143"/>
      <c r="H52" s="143">
        <v>22.3</v>
      </c>
      <c r="I52" s="143">
        <v>19.809999999999999</v>
      </c>
      <c r="J52" s="143"/>
      <c r="K52" s="147">
        <f t="shared" si="0"/>
        <v>1.6000000000000014</v>
      </c>
      <c r="L52" s="147">
        <f t="shared" si="1"/>
        <v>1.4310851943755161</v>
      </c>
      <c r="M52" s="143" t="s">
        <v>786</v>
      </c>
      <c r="N52" s="143"/>
      <c r="O52" s="143"/>
      <c r="P52" s="143"/>
      <c r="Q52" s="143"/>
      <c r="R52" s="143"/>
      <c r="S52" s="143"/>
      <c r="T52" s="143"/>
      <c r="U52" s="143"/>
    </row>
    <row r="53" spans="1:21" x14ac:dyDescent="0.3">
      <c r="A53" s="143" t="s">
        <v>41</v>
      </c>
      <c r="B53" s="147">
        <f>VLOOKUP(A53,'Product Cost - Price'!$D$5:$U$252,18,FALSE)</f>
        <v>26</v>
      </c>
      <c r="C53" s="147">
        <f>VLOOKUP(A53,'Product Cost - Price'!$D$5:$U$252,17,FALSE)</f>
        <v>23.098520174598104</v>
      </c>
      <c r="D53" s="143">
        <v>37.15</v>
      </c>
      <c r="E53" s="143">
        <v>0</v>
      </c>
      <c r="F53" s="143" t="s">
        <v>23</v>
      </c>
      <c r="G53" s="143"/>
      <c r="H53" s="143">
        <v>24.5</v>
      </c>
      <c r="I53" s="143">
        <v>21.73</v>
      </c>
      <c r="J53" s="143"/>
      <c r="K53" s="147">
        <f t="shared" si="0"/>
        <v>1.5</v>
      </c>
      <c r="L53" s="147">
        <f t="shared" si="1"/>
        <v>1.3685201745981033</v>
      </c>
      <c r="M53" s="143" t="s">
        <v>786</v>
      </c>
      <c r="N53" s="143"/>
      <c r="O53" s="143"/>
      <c r="P53" s="143"/>
      <c r="Q53" s="143"/>
      <c r="R53" s="143"/>
      <c r="S53" s="143"/>
      <c r="T53" s="143"/>
      <c r="U53" s="143"/>
    </row>
    <row r="54" spans="1:21" x14ac:dyDescent="0.3">
      <c r="A54" s="143" t="s">
        <v>316</v>
      </c>
      <c r="B54" s="147" t="e">
        <f>VLOOKUP(A54,'Product Cost - Price'!$D$5:$U$252,18,FALSE)</f>
        <v>#N/A</v>
      </c>
      <c r="C54" s="147" t="e">
        <f>VLOOKUP(A54,'Product Cost - Price'!$D$5:$U$252,17,FALSE)</f>
        <v>#N/A</v>
      </c>
      <c r="D54" s="143">
        <v>0</v>
      </c>
      <c r="E54" s="143">
        <v>0</v>
      </c>
      <c r="F54" s="143" t="s">
        <v>23</v>
      </c>
      <c r="G54" s="143"/>
      <c r="H54" s="143">
        <v>14.4</v>
      </c>
      <c r="I54" s="143">
        <v>14</v>
      </c>
      <c r="J54" s="143"/>
      <c r="K54" s="147" t="str">
        <f t="shared" si="0"/>
        <v>n/a</v>
      </c>
      <c r="L54" s="147" t="str">
        <f t="shared" si="1"/>
        <v>n/a</v>
      </c>
      <c r="M54" s="143" t="s">
        <v>786</v>
      </c>
      <c r="N54" s="143"/>
      <c r="O54" s="143"/>
      <c r="P54" s="143"/>
      <c r="Q54" s="143"/>
      <c r="R54" s="143"/>
      <c r="S54" s="143"/>
      <c r="T54" s="143"/>
      <c r="U54" s="143"/>
    </row>
    <row r="55" spans="1:21" x14ac:dyDescent="0.3">
      <c r="A55" s="143" t="s">
        <v>172</v>
      </c>
      <c r="B55" s="147" t="e">
        <f>VLOOKUP(A55,'Product Cost - Price'!$D$5:$U$252,18,FALSE)</f>
        <v>#N/A</v>
      </c>
      <c r="C55" s="147" t="e">
        <f>VLOOKUP(A55,'Product Cost - Price'!$D$5:$U$252,17,FALSE)</f>
        <v>#N/A</v>
      </c>
      <c r="D55" s="143">
        <v>40.5</v>
      </c>
      <c r="E55" s="143">
        <v>0</v>
      </c>
      <c r="F55" s="143" t="s">
        <v>23</v>
      </c>
      <c r="G55" s="143"/>
      <c r="H55" s="143">
        <v>27.2</v>
      </c>
      <c r="I55" s="143">
        <v>24.21</v>
      </c>
      <c r="J55" s="143"/>
      <c r="K55" s="147" t="str">
        <f t="shared" si="0"/>
        <v>n/a</v>
      </c>
      <c r="L55" s="147" t="str">
        <f t="shared" si="1"/>
        <v>n/a</v>
      </c>
      <c r="M55" s="143" t="s">
        <v>786</v>
      </c>
      <c r="N55" s="143"/>
      <c r="O55" s="143"/>
      <c r="P55" s="143"/>
      <c r="Q55" s="143"/>
      <c r="R55" s="143"/>
      <c r="S55" s="143"/>
      <c r="T55" s="143"/>
      <c r="U55" s="143"/>
    </row>
    <row r="56" spans="1:21" x14ac:dyDescent="0.3">
      <c r="A56" s="143" t="s">
        <v>122</v>
      </c>
      <c r="B56" s="147">
        <f>VLOOKUP(A56,'Product Cost - Price'!$D$5:$U$252,18,FALSE)</f>
        <v>13.7</v>
      </c>
      <c r="C56" s="147">
        <f>VLOOKUP(A56,'Product Cost - Price'!$D$5:$U$252,17,FALSE)</f>
        <v>12.812731997030438</v>
      </c>
      <c r="D56" s="143">
        <v>20.5</v>
      </c>
      <c r="E56" s="143">
        <v>0</v>
      </c>
      <c r="F56" s="143" t="s">
        <v>23</v>
      </c>
      <c r="G56" s="143"/>
      <c r="H56" s="143">
        <v>12.5</v>
      </c>
      <c r="I56" s="143">
        <v>12.65</v>
      </c>
      <c r="J56" s="143"/>
      <c r="K56" s="147">
        <f t="shared" si="0"/>
        <v>1.1999999999999993</v>
      </c>
      <c r="L56" s="147">
        <f t="shared" si="1"/>
        <v>0.16273199703043773</v>
      </c>
      <c r="M56" s="143" t="s">
        <v>786</v>
      </c>
      <c r="N56" s="143"/>
      <c r="O56" s="143"/>
      <c r="P56" s="143"/>
      <c r="Q56" s="143"/>
      <c r="R56" s="143"/>
      <c r="S56" s="143"/>
      <c r="T56" s="143"/>
      <c r="U56" s="143"/>
    </row>
    <row r="57" spans="1:21" x14ac:dyDescent="0.3">
      <c r="A57" s="143" t="s">
        <v>186</v>
      </c>
      <c r="B57" s="147">
        <f>VLOOKUP(A57,'Product Cost - Price'!$D$5:$U$252,18,FALSE)</f>
        <v>29.400000000000002</v>
      </c>
      <c r="C57" s="147">
        <f>VLOOKUP(A57,'Product Cost - Price'!$D$5:$U$252,17,FALSE)</f>
        <v>26.142304301075271</v>
      </c>
      <c r="D57" s="143">
        <v>46</v>
      </c>
      <c r="E57" s="143">
        <v>0</v>
      </c>
      <c r="F57" s="143" t="s">
        <v>23</v>
      </c>
      <c r="G57" s="143"/>
      <c r="H57" s="143">
        <v>27.7</v>
      </c>
      <c r="I57" s="143">
        <v>24.58</v>
      </c>
      <c r="J57" s="143"/>
      <c r="K57" s="147">
        <f t="shared" si="0"/>
        <v>1.7000000000000028</v>
      </c>
      <c r="L57" s="147">
        <f t="shared" si="1"/>
        <v>1.5623043010752724</v>
      </c>
      <c r="M57" s="143" t="s">
        <v>786</v>
      </c>
      <c r="N57" s="143"/>
      <c r="O57" s="143"/>
      <c r="P57" s="143"/>
      <c r="Q57" s="143"/>
      <c r="R57" s="143"/>
      <c r="S57" s="143"/>
      <c r="T57" s="143"/>
      <c r="U57" s="143"/>
    </row>
    <row r="58" spans="1:21" x14ac:dyDescent="0.3">
      <c r="A58" s="143" t="s">
        <v>206</v>
      </c>
      <c r="B58" s="147" t="e">
        <f>VLOOKUP(A58,'Product Cost - Price'!$D$5:$U$252,18,FALSE)</f>
        <v>#N/A</v>
      </c>
      <c r="C58" s="147" t="e">
        <f>VLOOKUP(A58,'Product Cost - Price'!$D$5:$U$252,17,FALSE)</f>
        <v>#N/A</v>
      </c>
      <c r="D58" s="143">
        <v>37.85</v>
      </c>
      <c r="E58" s="143">
        <v>0</v>
      </c>
      <c r="F58" s="143" t="s">
        <v>23</v>
      </c>
      <c r="G58" s="143"/>
      <c r="H58" s="143">
        <v>24.2</v>
      </c>
      <c r="I58" s="143">
        <v>21.52</v>
      </c>
      <c r="J58" s="143"/>
      <c r="K58" s="147" t="str">
        <f t="shared" si="0"/>
        <v>n/a</v>
      </c>
      <c r="L58" s="147" t="str">
        <f t="shared" si="1"/>
        <v>n/a</v>
      </c>
      <c r="M58" s="143" t="s">
        <v>786</v>
      </c>
      <c r="N58" s="143"/>
      <c r="O58" s="143"/>
      <c r="P58" s="143"/>
      <c r="Q58" s="143"/>
      <c r="R58" s="143"/>
      <c r="S58" s="143"/>
      <c r="T58" s="143"/>
      <c r="U58" s="143"/>
    </row>
    <row r="59" spans="1:21" x14ac:dyDescent="0.3">
      <c r="A59" s="143" t="s">
        <v>370</v>
      </c>
      <c r="B59" s="147" t="e">
        <f>VLOOKUP(A59,'Product Cost - Price'!$D$5:$U$252,18,FALSE)</f>
        <v>#N/A</v>
      </c>
      <c r="C59" s="147">
        <v>0</v>
      </c>
      <c r="D59" s="145">
        <v>0</v>
      </c>
      <c r="E59" s="145">
        <v>0</v>
      </c>
      <c r="F59" s="143" t="s">
        <v>23</v>
      </c>
      <c r="G59" s="143"/>
      <c r="H59" s="143">
        <v>1.28</v>
      </c>
      <c r="I59" s="143">
        <v>7.3999999999999996E-2</v>
      </c>
      <c r="J59" s="143"/>
      <c r="K59" s="150" t="str">
        <f t="shared" si="0"/>
        <v>n/a</v>
      </c>
      <c r="L59" s="150">
        <f t="shared" si="1"/>
        <v>-7.3999999999999996E-2</v>
      </c>
      <c r="M59" s="143" t="s">
        <v>786</v>
      </c>
      <c r="N59" s="143"/>
      <c r="O59" s="143"/>
      <c r="P59" s="143"/>
      <c r="Q59" s="143"/>
      <c r="R59" s="144"/>
      <c r="S59" s="145"/>
      <c r="T59" s="145"/>
      <c r="U59" s="143"/>
    </row>
    <row r="60" spans="1:21" x14ac:dyDescent="0.3">
      <c r="A60" s="143" t="s">
        <v>254</v>
      </c>
      <c r="B60" s="147" t="e">
        <f>VLOOKUP(A60,'Product Cost - Price'!$D$5:$U$252,18,FALSE)</f>
        <v>#N/A</v>
      </c>
      <c r="C60" s="147" t="e">
        <f>VLOOKUP(A60,'Product Cost - Price'!$D$5:$U$252,17,FALSE)</f>
        <v>#N/A</v>
      </c>
      <c r="D60" s="143">
        <v>41.25</v>
      </c>
      <c r="E60" s="143">
        <v>0</v>
      </c>
      <c r="F60" s="143" t="s">
        <v>23</v>
      </c>
      <c r="G60" s="143"/>
      <c r="H60" s="143">
        <v>26.2</v>
      </c>
      <c r="I60" s="143">
        <v>0</v>
      </c>
      <c r="J60" s="143"/>
      <c r="K60" s="147" t="str">
        <f t="shared" si="0"/>
        <v>n/a</v>
      </c>
      <c r="L60" s="147" t="str">
        <f t="shared" si="1"/>
        <v>n/a</v>
      </c>
      <c r="M60" s="143" t="s">
        <v>786</v>
      </c>
      <c r="N60" s="143"/>
      <c r="O60" s="143"/>
      <c r="P60" s="143"/>
      <c r="Q60" s="143"/>
      <c r="R60" s="143"/>
      <c r="S60" s="143"/>
      <c r="T60" s="143"/>
      <c r="U60" s="143"/>
    </row>
    <row r="61" spans="1:21" x14ac:dyDescent="0.3">
      <c r="A61" s="143" t="s">
        <v>245</v>
      </c>
      <c r="B61" s="147" t="e">
        <f>VLOOKUP(A61,'Product Cost - Price'!$D$5:$U$252,18,FALSE)</f>
        <v>#N/A</v>
      </c>
      <c r="C61" s="147" t="e">
        <f>VLOOKUP(A61,'Product Cost - Price'!$D$5:$U$252,17,FALSE)</f>
        <v>#N/A</v>
      </c>
      <c r="D61" s="143">
        <v>38.5</v>
      </c>
      <c r="E61" s="143">
        <v>0</v>
      </c>
      <c r="F61" s="143" t="s">
        <v>23</v>
      </c>
      <c r="G61" s="143"/>
      <c r="H61" s="143">
        <v>23.9</v>
      </c>
      <c r="I61" s="143">
        <v>0</v>
      </c>
      <c r="J61" s="143"/>
      <c r="K61" s="147" t="str">
        <f t="shared" si="0"/>
        <v>n/a</v>
      </c>
      <c r="L61" s="147" t="str">
        <f t="shared" si="1"/>
        <v>n/a</v>
      </c>
      <c r="M61" s="143" t="s">
        <v>786</v>
      </c>
      <c r="N61" s="143"/>
      <c r="O61" s="143"/>
      <c r="P61" s="143"/>
      <c r="Q61" s="143"/>
      <c r="R61" s="143"/>
      <c r="S61" s="143"/>
      <c r="T61" s="143"/>
      <c r="U61" s="143"/>
    </row>
    <row r="62" spans="1:21" x14ac:dyDescent="0.3">
      <c r="A62" s="143" t="s">
        <v>257</v>
      </c>
      <c r="B62" s="147" t="e">
        <f>VLOOKUP(A62,'Product Cost - Price'!$D$5:$U$252,18,FALSE)</f>
        <v>#N/A</v>
      </c>
      <c r="C62" s="147" t="e">
        <f>VLOOKUP(A62,'Product Cost - Price'!$D$5:$U$252,17,FALSE)</f>
        <v>#N/A</v>
      </c>
      <c r="D62" s="143">
        <v>1.08</v>
      </c>
      <c r="E62" s="143">
        <v>0</v>
      </c>
      <c r="F62" s="143" t="s">
        <v>23</v>
      </c>
      <c r="G62" s="143"/>
      <c r="H62" s="143">
        <v>0.84</v>
      </c>
      <c r="I62" s="143">
        <v>0.78</v>
      </c>
      <c r="J62" s="143"/>
      <c r="K62" s="147" t="str">
        <f t="shared" si="0"/>
        <v>n/a</v>
      </c>
      <c r="L62" s="147" t="str">
        <f t="shared" si="1"/>
        <v>n/a</v>
      </c>
      <c r="M62" s="143" t="s">
        <v>786</v>
      </c>
      <c r="N62" s="143"/>
      <c r="O62" s="143"/>
      <c r="P62" s="143"/>
      <c r="Q62" s="143"/>
      <c r="R62" s="143"/>
      <c r="S62" s="143"/>
      <c r="T62" s="143"/>
      <c r="U62" s="143"/>
    </row>
    <row r="63" spans="1:21" x14ac:dyDescent="0.3">
      <c r="A63" s="143" t="s">
        <v>180</v>
      </c>
      <c r="B63" s="147" t="e">
        <f>VLOOKUP(A63,'Product Cost - Price'!$D$5:$U$252,18,FALSE)</f>
        <v>#N/A</v>
      </c>
      <c r="C63" s="147" t="e">
        <f>VLOOKUP(A63,'Product Cost - Price'!$D$5:$U$252,17,FALSE)</f>
        <v>#N/A</v>
      </c>
      <c r="D63" s="143">
        <v>37</v>
      </c>
      <c r="E63" s="143">
        <v>0</v>
      </c>
      <c r="F63" s="143" t="s">
        <v>23</v>
      </c>
      <c r="G63" s="143"/>
      <c r="H63" s="143">
        <v>23.6</v>
      </c>
      <c r="I63" s="143">
        <v>20.94</v>
      </c>
      <c r="J63" s="143"/>
      <c r="K63" s="147" t="str">
        <f t="shared" si="0"/>
        <v>n/a</v>
      </c>
      <c r="L63" s="147" t="str">
        <f t="shared" si="1"/>
        <v>n/a</v>
      </c>
      <c r="M63" s="143" t="s">
        <v>786</v>
      </c>
      <c r="N63" s="143"/>
      <c r="O63" s="143"/>
      <c r="P63" s="143"/>
      <c r="Q63" s="143"/>
      <c r="R63" s="143"/>
      <c r="S63" s="143"/>
      <c r="T63" s="143"/>
      <c r="U63" s="143"/>
    </row>
    <row r="64" spans="1:21" x14ac:dyDescent="0.3">
      <c r="A64" s="143" t="s">
        <v>200</v>
      </c>
      <c r="B64" s="147" t="e">
        <f>VLOOKUP(A64,'Product Cost - Price'!$D$5:$U$252,18,FALSE)</f>
        <v>#N/A</v>
      </c>
      <c r="C64" s="147" t="e">
        <f>VLOOKUP(A64,'Product Cost - Price'!$D$5:$U$252,17,FALSE)</f>
        <v>#N/A</v>
      </c>
      <c r="D64" s="143">
        <v>0.97</v>
      </c>
      <c r="E64" s="143">
        <v>0</v>
      </c>
      <c r="F64" s="143" t="s">
        <v>23</v>
      </c>
      <c r="G64" s="143"/>
      <c r="H64" s="143">
        <v>0.86</v>
      </c>
      <c r="I64" s="143">
        <v>0.89</v>
      </c>
      <c r="J64" s="143"/>
      <c r="K64" s="147" t="str">
        <f t="shared" si="0"/>
        <v>n/a</v>
      </c>
      <c r="L64" s="147" t="str">
        <f t="shared" si="1"/>
        <v>n/a</v>
      </c>
      <c r="M64" s="143" t="s">
        <v>786</v>
      </c>
      <c r="N64" s="143"/>
      <c r="O64" s="143"/>
      <c r="P64" s="143"/>
      <c r="Q64" s="143"/>
      <c r="R64" s="143"/>
      <c r="S64" s="143"/>
      <c r="T64" s="143"/>
      <c r="U64" s="143"/>
    </row>
    <row r="65" spans="1:21" x14ac:dyDescent="0.3">
      <c r="A65" s="143" t="s">
        <v>402</v>
      </c>
      <c r="B65" s="147" t="e">
        <f>VLOOKUP(A65,'Product Cost - Price'!$D$5:$U$252,18,FALSE)</f>
        <v>#N/A</v>
      </c>
      <c r="C65" s="147">
        <v>0</v>
      </c>
      <c r="D65" s="145">
        <v>0</v>
      </c>
      <c r="E65" s="145">
        <v>0</v>
      </c>
      <c r="F65" s="143" t="s">
        <v>23</v>
      </c>
      <c r="G65" s="143"/>
      <c r="H65" s="143">
        <v>1.88</v>
      </c>
      <c r="I65" s="143">
        <v>7.3999999999999996E-2</v>
      </c>
      <c r="J65" s="143"/>
      <c r="K65" s="150" t="str">
        <f t="shared" si="0"/>
        <v>n/a</v>
      </c>
      <c r="L65" s="150">
        <f t="shared" si="1"/>
        <v>-7.3999999999999996E-2</v>
      </c>
      <c r="M65" s="143" t="s">
        <v>786</v>
      </c>
      <c r="N65" s="143"/>
      <c r="O65" s="143"/>
      <c r="P65" s="143"/>
      <c r="Q65" s="143"/>
      <c r="R65" s="144"/>
      <c r="S65" s="145"/>
      <c r="T65" s="145"/>
      <c r="U65" s="143"/>
    </row>
    <row r="66" spans="1:21" x14ac:dyDescent="0.3">
      <c r="A66" s="143" t="s">
        <v>270</v>
      </c>
      <c r="B66" s="147" t="e">
        <f>VLOOKUP(A66,'Product Cost - Price'!$D$5:$U$252,18,FALSE)</f>
        <v>#N/A</v>
      </c>
      <c r="C66" s="147" t="e">
        <f>VLOOKUP(A66,'Product Cost - Price'!$D$5:$U$252,17,FALSE)</f>
        <v>#N/A</v>
      </c>
      <c r="D66" s="143">
        <v>2.5499999999999998</v>
      </c>
      <c r="E66" s="143">
        <v>0</v>
      </c>
      <c r="F66" s="143" t="s">
        <v>23</v>
      </c>
      <c r="G66" s="143"/>
      <c r="H66" s="143">
        <v>1.02</v>
      </c>
      <c r="I66" s="143">
        <v>0.91</v>
      </c>
      <c r="J66" s="143"/>
      <c r="K66" s="147" t="str">
        <f t="shared" si="0"/>
        <v>n/a</v>
      </c>
      <c r="L66" s="147" t="str">
        <f t="shared" si="1"/>
        <v>n/a</v>
      </c>
      <c r="M66" s="143" t="s">
        <v>786</v>
      </c>
      <c r="N66" s="143"/>
      <c r="O66" s="143"/>
      <c r="P66" s="143"/>
      <c r="Q66" s="143"/>
      <c r="R66" s="143"/>
      <c r="S66" s="143"/>
      <c r="T66" s="143"/>
      <c r="U66" s="143"/>
    </row>
    <row r="67" spans="1:21" x14ac:dyDescent="0.3">
      <c r="A67" s="143" t="s">
        <v>336</v>
      </c>
      <c r="B67" s="147" t="e">
        <f>VLOOKUP(A67,'Product Cost - Price'!$D$5:$U$252,18,FALSE)</f>
        <v>#N/A</v>
      </c>
      <c r="C67" s="147">
        <v>0</v>
      </c>
      <c r="D67" s="145">
        <v>0</v>
      </c>
      <c r="E67" s="145">
        <v>0</v>
      </c>
      <c r="F67" s="143" t="s">
        <v>23</v>
      </c>
      <c r="G67" s="143"/>
      <c r="H67" s="143">
        <v>1.47</v>
      </c>
      <c r="I67" s="143">
        <v>7.3999999999999996E-2</v>
      </c>
      <c r="J67" s="143"/>
      <c r="K67" s="150" t="str">
        <f t="shared" ref="K67:K130" si="2">IFERROR(B67-H67,"n/a")</f>
        <v>n/a</v>
      </c>
      <c r="L67" s="150">
        <f t="shared" ref="L67:L130" si="3">IFERROR(C67-I67,"n/a")</f>
        <v>-7.3999999999999996E-2</v>
      </c>
      <c r="M67" s="143" t="s">
        <v>786</v>
      </c>
      <c r="N67" s="143"/>
      <c r="O67" s="143"/>
      <c r="P67" s="143"/>
      <c r="Q67" s="143"/>
      <c r="R67" s="143"/>
      <c r="S67" s="143"/>
      <c r="T67" s="143"/>
      <c r="U67" s="143"/>
    </row>
    <row r="68" spans="1:21" x14ac:dyDescent="0.3">
      <c r="A68" s="143" t="s">
        <v>351</v>
      </c>
      <c r="B68" s="147" t="e">
        <f>VLOOKUP(A68,'Product Cost - Price'!$D$5:$U$252,18,FALSE)</f>
        <v>#N/A</v>
      </c>
      <c r="C68" s="147">
        <v>0</v>
      </c>
      <c r="D68" s="145">
        <v>0</v>
      </c>
      <c r="E68" s="145">
        <v>0</v>
      </c>
      <c r="F68" s="143" t="s">
        <v>23</v>
      </c>
      <c r="G68" s="143"/>
      <c r="H68" s="143">
        <v>1.27</v>
      </c>
      <c r="I68" s="143">
        <v>7.3999999999999996E-2</v>
      </c>
      <c r="J68" s="143"/>
      <c r="K68" s="150" t="str">
        <f t="shared" si="2"/>
        <v>n/a</v>
      </c>
      <c r="L68" s="150">
        <f t="shared" si="3"/>
        <v>-7.3999999999999996E-2</v>
      </c>
      <c r="M68" s="143" t="s">
        <v>786</v>
      </c>
      <c r="N68" s="143"/>
      <c r="O68" s="143"/>
      <c r="P68" s="143"/>
      <c r="Q68" s="143"/>
      <c r="R68" s="144"/>
      <c r="S68" s="145"/>
      <c r="T68" s="145"/>
      <c r="U68" s="143"/>
    </row>
    <row r="69" spans="1:21" x14ac:dyDescent="0.3">
      <c r="A69" s="143" t="s">
        <v>379</v>
      </c>
      <c r="B69" s="147" t="e">
        <f>VLOOKUP(A69,'Product Cost - Price'!$D$5:$U$252,18,FALSE)</f>
        <v>#N/A</v>
      </c>
      <c r="C69" s="147">
        <v>0</v>
      </c>
      <c r="D69" s="145">
        <v>0</v>
      </c>
      <c r="E69" s="145">
        <v>0</v>
      </c>
      <c r="F69" s="143" t="s">
        <v>23</v>
      </c>
      <c r="G69" s="143"/>
      <c r="H69" s="143">
        <v>1.37</v>
      </c>
      <c r="I69" s="143">
        <v>7.3999999999999996E-2</v>
      </c>
      <c r="J69" s="143"/>
      <c r="K69" s="150" t="str">
        <f t="shared" si="2"/>
        <v>n/a</v>
      </c>
      <c r="L69" s="150">
        <f t="shared" si="3"/>
        <v>-7.3999999999999996E-2</v>
      </c>
      <c r="M69" s="143" t="s">
        <v>786</v>
      </c>
      <c r="N69" s="143"/>
      <c r="O69" s="143"/>
      <c r="P69" s="143"/>
      <c r="Q69" s="143"/>
      <c r="R69" s="144"/>
      <c r="S69" s="145"/>
      <c r="T69" s="145"/>
      <c r="U69" s="143"/>
    </row>
    <row r="70" spans="1:21" x14ac:dyDescent="0.3">
      <c r="A70" s="143" t="s">
        <v>392</v>
      </c>
      <c r="B70" s="147" t="e">
        <f>VLOOKUP(A70,'Product Cost - Price'!$D$5:$U$252,18,FALSE)</f>
        <v>#N/A</v>
      </c>
      <c r="C70" s="147">
        <v>0</v>
      </c>
      <c r="D70" s="145">
        <v>0</v>
      </c>
      <c r="E70" s="145">
        <v>0</v>
      </c>
      <c r="F70" s="143" t="s">
        <v>23</v>
      </c>
      <c r="G70" s="143"/>
      <c r="H70" s="143">
        <v>30.97</v>
      </c>
      <c r="I70" s="143">
        <v>7.3999999999999996E-2</v>
      </c>
      <c r="J70" s="143"/>
      <c r="K70" s="150" t="str">
        <f t="shared" si="2"/>
        <v>n/a</v>
      </c>
      <c r="L70" s="150">
        <f t="shared" si="3"/>
        <v>-7.3999999999999996E-2</v>
      </c>
      <c r="M70" s="143" t="s">
        <v>786</v>
      </c>
      <c r="N70" s="143"/>
      <c r="O70" s="143"/>
      <c r="P70" s="143"/>
      <c r="Q70" s="143"/>
      <c r="R70" s="144"/>
      <c r="S70" s="145"/>
      <c r="T70" s="145"/>
      <c r="U70" s="143"/>
    </row>
    <row r="71" spans="1:21" x14ac:dyDescent="0.3">
      <c r="A71" s="143" t="s">
        <v>120</v>
      </c>
      <c r="B71" s="147" t="e">
        <f>VLOOKUP(A71,'Product Cost - Price'!$D$5:$U$252,18,FALSE)</f>
        <v>#N/A</v>
      </c>
      <c r="C71" s="147">
        <v>0</v>
      </c>
      <c r="D71" s="145">
        <v>0</v>
      </c>
      <c r="E71" s="145">
        <v>0</v>
      </c>
      <c r="F71" s="143" t="s">
        <v>23</v>
      </c>
      <c r="G71" s="143"/>
      <c r="H71" s="143">
        <v>20.07</v>
      </c>
      <c r="I71" s="143">
        <v>7.3999999999999996E-2</v>
      </c>
      <c r="J71" s="143"/>
      <c r="K71" s="150" t="str">
        <f t="shared" si="2"/>
        <v>n/a</v>
      </c>
      <c r="L71" s="150">
        <f t="shared" si="3"/>
        <v>-7.3999999999999996E-2</v>
      </c>
      <c r="M71" s="143" t="s">
        <v>786</v>
      </c>
      <c r="N71" s="143"/>
      <c r="O71" s="143"/>
      <c r="P71" s="143"/>
      <c r="Q71" s="143"/>
      <c r="R71" s="144"/>
      <c r="S71" s="145"/>
      <c r="T71" s="145"/>
      <c r="U71" s="143"/>
    </row>
    <row r="72" spans="1:21" x14ac:dyDescent="0.3">
      <c r="A72" s="143" t="s">
        <v>341</v>
      </c>
      <c r="B72" s="147" t="e">
        <f>VLOOKUP(A72,'Product Cost - Price'!$D$5:$U$252,18,FALSE)</f>
        <v>#N/A</v>
      </c>
      <c r="C72" s="147">
        <v>0</v>
      </c>
      <c r="D72" s="145">
        <v>0</v>
      </c>
      <c r="E72" s="145">
        <v>0</v>
      </c>
      <c r="F72" s="143" t="s">
        <v>23</v>
      </c>
      <c r="G72" s="143"/>
      <c r="H72" s="143">
        <v>19.260000000000002</v>
      </c>
      <c r="I72" s="143">
        <v>7.3999999999999996E-2</v>
      </c>
      <c r="J72" s="143"/>
      <c r="K72" s="150" t="str">
        <f t="shared" si="2"/>
        <v>n/a</v>
      </c>
      <c r="L72" s="150">
        <f t="shared" si="3"/>
        <v>-7.3999999999999996E-2</v>
      </c>
      <c r="M72" s="143" t="s">
        <v>786</v>
      </c>
      <c r="N72" s="143"/>
      <c r="O72" s="143"/>
      <c r="P72" s="143"/>
      <c r="Q72" s="143"/>
      <c r="R72" s="143"/>
      <c r="S72" s="143"/>
      <c r="T72" s="143"/>
      <c r="U72" s="143"/>
    </row>
    <row r="73" spans="1:21" x14ac:dyDescent="0.3">
      <c r="A73" s="143" t="s">
        <v>381</v>
      </c>
      <c r="B73" s="147" t="e">
        <f>VLOOKUP(A73,'Product Cost - Price'!$D$5:$U$252,18,FALSE)</f>
        <v>#N/A</v>
      </c>
      <c r="C73" s="147">
        <v>0</v>
      </c>
      <c r="D73" s="145">
        <v>0</v>
      </c>
      <c r="E73" s="145">
        <v>0</v>
      </c>
      <c r="F73" s="143" t="s">
        <v>23</v>
      </c>
      <c r="G73" s="143"/>
      <c r="H73" s="143">
        <v>1.1599999999999999</v>
      </c>
      <c r="I73" s="143">
        <v>7.3999999999999996E-2</v>
      </c>
      <c r="J73" s="143"/>
      <c r="K73" s="150" t="str">
        <f t="shared" si="2"/>
        <v>n/a</v>
      </c>
      <c r="L73" s="150">
        <f t="shared" si="3"/>
        <v>-7.3999999999999996E-2</v>
      </c>
      <c r="M73" s="143" t="s">
        <v>786</v>
      </c>
      <c r="N73" s="143"/>
      <c r="O73" s="143"/>
      <c r="P73" s="143"/>
      <c r="Q73" s="143"/>
      <c r="R73" s="144"/>
      <c r="S73" s="145"/>
      <c r="T73" s="145"/>
      <c r="U73" s="143"/>
    </row>
    <row r="74" spans="1:21" x14ac:dyDescent="0.3">
      <c r="A74" s="143" t="s">
        <v>400</v>
      </c>
      <c r="B74" s="147" t="e">
        <f>VLOOKUP(A74,'Product Cost - Price'!$D$5:$U$252,18,FALSE)</f>
        <v>#N/A</v>
      </c>
      <c r="C74" s="147" t="e">
        <f>VLOOKUP(A74,'Product Cost - Price'!$D$5:$U$252,17,FALSE)</f>
        <v>#N/A</v>
      </c>
      <c r="D74" s="145">
        <v>0</v>
      </c>
      <c r="E74" s="145">
        <v>0</v>
      </c>
      <c r="F74" s="143" t="s">
        <v>23</v>
      </c>
      <c r="G74" s="143"/>
      <c r="H74" s="143">
        <v>82</v>
      </c>
      <c r="I74" s="143">
        <v>7.3999999999999996E-2</v>
      </c>
      <c r="J74" s="143"/>
      <c r="K74" s="147" t="str">
        <f t="shared" si="2"/>
        <v>n/a</v>
      </c>
      <c r="L74" s="147" t="str">
        <f t="shared" si="3"/>
        <v>n/a</v>
      </c>
      <c r="M74" s="143" t="s">
        <v>786</v>
      </c>
      <c r="N74" s="143"/>
      <c r="O74" s="143"/>
      <c r="P74" s="143"/>
      <c r="Q74" s="143"/>
      <c r="R74" s="144"/>
      <c r="S74" s="145"/>
      <c r="T74" s="145"/>
      <c r="U74" s="143"/>
    </row>
    <row r="75" spans="1:21" x14ac:dyDescent="0.3">
      <c r="A75" s="143" t="s">
        <v>45</v>
      </c>
      <c r="B75" s="147" t="e">
        <f>VLOOKUP(A75,'Product Cost - Price'!$D$5:$U$252,18,FALSE)</f>
        <v>#N/A</v>
      </c>
      <c r="C75" s="147" t="e">
        <f>VLOOKUP(A75,'Product Cost - Price'!$D$5:$U$252,17,FALSE)</f>
        <v>#N/A</v>
      </c>
      <c r="D75" s="143">
        <v>38.5</v>
      </c>
      <c r="E75" s="143">
        <v>0</v>
      </c>
      <c r="F75" s="143" t="s">
        <v>23</v>
      </c>
      <c r="G75" s="143"/>
      <c r="H75" s="143">
        <v>25.5</v>
      </c>
      <c r="I75" s="143">
        <v>22.64</v>
      </c>
      <c r="J75" s="143"/>
      <c r="K75" s="147" t="str">
        <f t="shared" si="2"/>
        <v>n/a</v>
      </c>
      <c r="L75" s="147" t="str">
        <f t="shared" si="3"/>
        <v>n/a</v>
      </c>
      <c r="M75" s="143" t="s">
        <v>786</v>
      </c>
      <c r="N75" s="143"/>
      <c r="O75" s="143"/>
      <c r="P75" s="143"/>
      <c r="Q75" s="143"/>
      <c r="R75" s="143"/>
      <c r="S75" s="143"/>
      <c r="T75" s="143"/>
      <c r="U75" s="143"/>
    </row>
    <row r="76" spans="1:21" x14ac:dyDescent="0.3">
      <c r="A76" s="143" t="s">
        <v>334</v>
      </c>
      <c r="B76" s="147" t="e">
        <f>VLOOKUP(A76,'Product Cost - Price'!$D$5:$U$252,18,FALSE)</f>
        <v>#N/A</v>
      </c>
      <c r="C76" s="147">
        <v>0</v>
      </c>
      <c r="D76" s="145">
        <v>0</v>
      </c>
      <c r="E76" s="145">
        <v>0</v>
      </c>
      <c r="F76" s="143" t="s">
        <v>23</v>
      </c>
      <c r="G76" s="143"/>
      <c r="H76" s="143">
        <v>1.95</v>
      </c>
      <c r="I76" s="143">
        <v>7.3999999999999996E-2</v>
      </c>
      <c r="J76" s="143"/>
      <c r="K76" s="150" t="str">
        <f t="shared" si="2"/>
        <v>n/a</v>
      </c>
      <c r="L76" s="150">
        <f t="shared" si="3"/>
        <v>-7.3999999999999996E-2</v>
      </c>
      <c r="M76" s="143" t="s">
        <v>786</v>
      </c>
      <c r="N76" s="143"/>
      <c r="O76" s="143"/>
      <c r="P76" s="143"/>
      <c r="Q76" s="143"/>
      <c r="R76" s="143"/>
      <c r="S76" s="143"/>
      <c r="T76" s="143"/>
      <c r="U76" s="143"/>
    </row>
    <row r="77" spans="1:21" x14ac:dyDescent="0.3">
      <c r="A77" s="143" t="s">
        <v>362</v>
      </c>
      <c r="B77" s="147" t="e">
        <f>VLOOKUP(A77,'Product Cost - Price'!$D$5:$U$252,18,FALSE)</f>
        <v>#N/A</v>
      </c>
      <c r="C77" s="147">
        <v>0</v>
      </c>
      <c r="D77" s="145">
        <v>0</v>
      </c>
      <c r="E77" s="145">
        <v>0</v>
      </c>
      <c r="F77" s="143" t="s">
        <v>23</v>
      </c>
      <c r="G77" s="143"/>
      <c r="H77" s="143">
        <v>30.75</v>
      </c>
      <c r="I77" s="143">
        <v>7.3999999999999996E-2</v>
      </c>
      <c r="J77" s="143"/>
      <c r="K77" s="150" t="str">
        <f t="shared" si="2"/>
        <v>n/a</v>
      </c>
      <c r="L77" s="150">
        <f t="shared" si="3"/>
        <v>-7.3999999999999996E-2</v>
      </c>
      <c r="M77" s="143" t="s">
        <v>786</v>
      </c>
      <c r="N77" s="143"/>
      <c r="O77" s="143"/>
      <c r="P77" s="143"/>
      <c r="Q77" s="143"/>
      <c r="R77" s="144"/>
      <c r="S77" s="145"/>
      <c r="T77" s="145"/>
      <c r="U77" s="143"/>
    </row>
    <row r="78" spans="1:21" x14ac:dyDescent="0.3">
      <c r="A78" s="143" t="s">
        <v>134</v>
      </c>
      <c r="B78" s="147" t="e">
        <f>VLOOKUP(A78,'Product Cost - Price'!$D$5:$U$252,18,FALSE)</f>
        <v>#N/A</v>
      </c>
      <c r="C78" s="147">
        <v>0</v>
      </c>
      <c r="D78" s="143">
        <v>0</v>
      </c>
      <c r="E78" s="143">
        <v>0</v>
      </c>
      <c r="F78" s="143" t="s">
        <v>23</v>
      </c>
      <c r="G78" s="143"/>
      <c r="H78" s="143">
        <v>8</v>
      </c>
      <c r="I78" s="143">
        <v>6.5</v>
      </c>
      <c r="J78" s="143"/>
      <c r="K78" s="147" t="str">
        <f t="shared" si="2"/>
        <v>n/a</v>
      </c>
      <c r="L78" s="147">
        <f t="shared" si="3"/>
        <v>-6.5</v>
      </c>
      <c r="M78" s="143" t="s">
        <v>786</v>
      </c>
      <c r="N78" s="143"/>
      <c r="O78" s="143">
        <v>0.03</v>
      </c>
      <c r="P78" s="143"/>
      <c r="Q78" s="143"/>
      <c r="R78" s="143"/>
      <c r="S78" s="143"/>
      <c r="T78" s="143"/>
      <c r="U78" s="143"/>
    </row>
    <row r="79" spans="1:21" x14ac:dyDescent="0.3">
      <c r="A79" s="143" t="s">
        <v>201</v>
      </c>
      <c r="B79" s="147" t="e">
        <f>VLOOKUP(A79,'Product Cost - Price'!$D$5:$U$252,18,FALSE)</f>
        <v>#N/A</v>
      </c>
      <c r="C79" s="147" t="e">
        <f>VLOOKUP(A79,'Product Cost - Price'!$D$5:$U$252,17,FALSE)</f>
        <v>#N/A</v>
      </c>
      <c r="D79" s="143">
        <v>2.6</v>
      </c>
      <c r="E79" s="143">
        <v>0</v>
      </c>
      <c r="F79" s="143" t="s">
        <v>23</v>
      </c>
      <c r="G79" s="143"/>
      <c r="H79" s="143">
        <v>4</v>
      </c>
      <c r="I79" s="143">
        <v>2.6</v>
      </c>
      <c r="J79" s="143"/>
      <c r="K79" s="147" t="str">
        <f t="shared" si="2"/>
        <v>n/a</v>
      </c>
      <c r="L79" s="147" t="str">
        <f t="shared" si="3"/>
        <v>n/a</v>
      </c>
      <c r="M79" s="143" t="s">
        <v>786</v>
      </c>
      <c r="N79" s="143"/>
      <c r="O79" s="143">
        <f>O78*20</f>
        <v>0.6</v>
      </c>
      <c r="P79" s="143"/>
      <c r="Q79" s="143"/>
      <c r="R79" s="143"/>
      <c r="S79" s="143"/>
      <c r="T79" s="143"/>
      <c r="U79" s="143"/>
    </row>
    <row r="80" spans="1:21" x14ac:dyDescent="0.3">
      <c r="A80" s="143" t="s">
        <v>203</v>
      </c>
      <c r="B80" s="147" t="e">
        <f>VLOOKUP(A80,'Product Cost - Price'!$D$5:$U$252,18,FALSE)</f>
        <v>#N/A</v>
      </c>
      <c r="C80" s="147" t="e">
        <f>VLOOKUP(A80,'Product Cost - Price'!$D$5:$U$252,17,FALSE)</f>
        <v>#N/A</v>
      </c>
      <c r="D80" s="143">
        <v>0.13</v>
      </c>
      <c r="E80" s="143">
        <v>0</v>
      </c>
      <c r="F80" s="143" t="s">
        <v>23</v>
      </c>
      <c r="G80" s="143"/>
      <c r="H80" s="143">
        <v>0.13</v>
      </c>
      <c r="I80" s="143">
        <v>0.13</v>
      </c>
      <c r="J80" s="143"/>
      <c r="K80" s="147" t="str">
        <f t="shared" si="2"/>
        <v>n/a</v>
      </c>
      <c r="L80" s="147" t="str">
        <f t="shared" si="3"/>
        <v>n/a</v>
      </c>
      <c r="M80" s="143" t="s">
        <v>786</v>
      </c>
      <c r="N80" s="143"/>
      <c r="O80" s="143"/>
      <c r="P80" s="143"/>
      <c r="Q80" s="143"/>
      <c r="R80" s="143"/>
      <c r="S80" s="143"/>
      <c r="T80" s="143"/>
      <c r="U80" s="143"/>
    </row>
    <row r="81" spans="1:21" x14ac:dyDescent="0.3">
      <c r="A81" s="143" t="s">
        <v>210</v>
      </c>
      <c r="B81" s="147" t="e">
        <f>VLOOKUP(A81,'Product Cost - Price'!$D$5:$U$252,18,FALSE)</f>
        <v>#N/A</v>
      </c>
      <c r="C81" s="147" t="e">
        <f>VLOOKUP(A81,'Product Cost - Price'!$D$5:$U$252,17,FALSE)</f>
        <v>#N/A</v>
      </c>
      <c r="D81" s="143">
        <v>4</v>
      </c>
      <c r="E81" s="143">
        <v>4</v>
      </c>
      <c r="F81" s="143" t="s">
        <v>23</v>
      </c>
      <c r="G81" s="143"/>
      <c r="H81" s="143">
        <v>4</v>
      </c>
      <c r="I81" s="143">
        <v>4</v>
      </c>
      <c r="J81" s="143"/>
      <c r="K81" s="147" t="str">
        <f t="shared" si="2"/>
        <v>n/a</v>
      </c>
      <c r="L81" s="147" t="str">
        <f t="shared" si="3"/>
        <v>n/a</v>
      </c>
      <c r="M81" s="143" t="s">
        <v>786</v>
      </c>
      <c r="N81" s="143"/>
      <c r="O81" s="143"/>
      <c r="P81" s="143"/>
      <c r="Q81" s="143"/>
      <c r="R81" s="143"/>
      <c r="S81" s="143"/>
      <c r="T81" s="143"/>
      <c r="U81" s="143"/>
    </row>
    <row r="82" spans="1:21" x14ac:dyDescent="0.3">
      <c r="A82" s="143" t="s">
        <v>228</v>
      </c>
      <c r="B82" s="147" t="e">
        <f>VLOOKUP(A82,'Product Cost - Price'!$D$5:$U$252,18,FALSE)</f>
        <v>#N/A</v>
      </c>
      <c r="C82" s="147" t="e">
        <f>VLOOKUP(A82,'Product Cost - Price'!$D$5:$U$252,17,FALSE)</f>
        <v>#N/A</v>
      </c>
      <c r="D82" s="143">
        <v>0.13</v>
      </c>
      <c r="E82" s="143">
        <v>0</v>
      </c>
      <c r="F82" s="143" t="s">
        <v>23</v>
      </c>
      <c r="G82" s="143"/>
      <c r="H82" s="143">
        <v>0.13</v>
      </c>
      <c r="I82" s="143">
        <v>0.13</v>
      </c>
      <c r="J82" s="143"/>
      <c r="K82" s="147" t="str">
        <f t="shared" si="2"/>
        <v>n/a</v>
      </c>
      <c r="L82" s="147" t="str">
        <f t="shared" si="3"/>
        <v>n/a</v>
      </c>
      <c r="M82" s="143" t="s">
        <v>786</v>
      </c>
      <c r="N82" s="143"/>
      <c r="O82" s="143"/>
      <c r="P82" s="143"/>
      <c r="Q82" s="143"/>
      <c r="R82" s="143"/>
      <c r="S82" s="143"/>
      <c r="T82" s="143"/>
      <c r="U82" s="143"/>
    </row>
    <row r="83" spans="1:21" x14ac:dyDescent="0.3">
      <c r="A83" s="143" t="s">
        <v>249</v>
      </c>
      <c r="B83" s="147" t="e">
        <f>VLOOKUP(A83,'Product Cost - Price'!$D$5:$U$252,18,FALSE)</f>
        <v>#N/A</v>
      </c>
      <c r="C83" s="147" t="e">
        <f>VLOOKUP(A83,'Product Cost - Price'!$D$5:$U$252,17,FALSE)</f>
        <v>#N/A</v>
      </c>
      <c r="D83" s="143">
        <v>0.13</v>
      </c>
      <c r="E83" s="143">
        <v>0</v>
      </c>
      <c r="F83" s="143" t="s">
        <v>23</v>
      </c>
      <c r="G83" s="143"/>
      <c r="H83" s="143">
        <v>0.13</v>
      </c>
      <c r="I83" s="143">
        <v>0.13</v>
      </c>
      <c r="J83" s="143"/>
      <c r="K83" s="147" t="str">
        <f t="shared" si="2"/>
        <v>n/a</v>
      </c>
      <c r="L83" s="147" t="str">
        <f t="shared" si="3"/>
        <v>n/a</v>
      </c>
      <c r="M83" s="143" t="s">
        <v>786</v>
      </c>
      <c r="N83" s="143"/>
      <c r="O83" s="143"/>
      <c r="P83" s="143"/>
      <c r="Q83" s="143"/>
      <c r="R83" s="143"/>
      <c r="S83" s="143"/>
      <c r="T83" s="143"/>
      <c r="U83" s="143"/>
    </row>
    <row r="84" spans="1:21" x14ac:dyDescent="0.3">
      <c r="A84" s="143" t="s">
        <v>91</v>
      </c>
      <c r="B84" s="147" t="e">
        <f>VLOOKUP(A84,'Product Cost - Price'!$D$5:$U$252,18,FALSE)</f>
        <v>#N/A</v>
      </c>
      <c r="C84" s="147" t="e">
        <f>VLOOKUP(A84,'Product Cost - Price'!$D$5:$U$252,17,FALSE)</f>
        <v>#N/A</v>
      </c>
      <c r="D84" s="143">
        <v>0</v>
      </c>
      <c r="E84" s="143">
        <v>0</v>
      </c>
      <c r="F84" s="143" t="s">
        <v>23</v>
      </c>
      <c r="G84" s="143"/>
      <c r="H84" s="143">
        <v>0</v>
      </c>
      <c r="I84" s="143">
        <v>0</v>
      </c>
      <c r="J84" s="143"/>
      <c r="K84" s="147" t="str">
        <f t="shared" si="2"/>
        <v>n/a</v>
      </c>
      <c r="L84" s="147" t="str">
        <f t="shared" si="3"/>
        <v>n/a</v>
      </c>
      <c r="M84" s="143" t="s">
        <v>786</v>
      </c>
      <c r="N84" s="143"/>
      <c r="O84" s="143"/>
      <c r="P84" s="143"/>
      <c r="Q84" s="143"/>
      <c r="R84" s="143"/>
      <c r="S84" s="143"/>
      <c r="T84" s="143"/>
      <c r="U84" s="143"/>
    </row>
    <row r="85" spans="1:21" x14ac:dyDescent="0.3">
      <c r="A85" s="143" t="s">
        <v>113</v>
      </c>
      <c r="B85" s="147" t="e">
        <f>VLOOKUP(A85,'Product Cost - Price'!$D$5:$U$252,18,FALSE)</f>
        <v>#N/A</v>
      </c>
      <c r="C85" s="147" t="e">
        <f>VLOOKUP(A85,'Product Cost - Price'!$D$5:$U$252,17,FALSE)</f>
        <v>#N/A</v>
      </c>
      <c r="D85" s="143">
        <v>0</v>
      </c>
      <c r="E85" s="143">
        <v>0</v>
      </c>
      <c r="F85" s="143" t="s">
        <v>23</v>
      </c>
      <c r="G85" s="143"/>
      <c r="H85" s="143">
        <v>50</v>
      </c>
      <c r="I85" s="143">
        <v>50</v>
      </c>
      <c r="J85" s="143"/>
      <c r="K85" s="147" t="str">
        <f t="shared" si="2"/>
        <v>n/a</v>
      </c>
      <c r="L85" s="147" t="str">
        <f t="shared" si="3"/>
        <v>n/a</v>
      </c>
      <c r="M85" s="143" t="s">
        <v>786</v>
      </c>
      <c r="N85" s="143"/>
      <c r="O85" s="143"/>
      <c r="P85" s="143"/>
      <c r="Q85" s="143"/>
      <c r="R85" s="143"/>
      <c r="S85" s="143"/>
      <c r="T85" s="143"/>
      <c r="U85" s="143"/>
    </row>
    <row r="86" spans="1:21" x14ac:dyDescent="0.3">
      <c r="A86" s="143" t="s">
        <v>398</v>
      </c>
      <c r="B86" s="147" t="e">
        <f>VLOOKUP(A86,'Product Cost - Price'!$D$5:$U$252,18,FALSE)</f>
        <v>#N/A</v>
      </c>
      <c r="C86" s="147" t="e">
        <f>VLOOKUP(A86,'Product Cost - Price'!$D$5:$U$252,17,FALSE)</f>
        <v>#N/A</v>
      </c>
      <c r="D86" s="145">
        <v>0</v>
      </c>
      <c r="E86" s="145">
        <v>0</v>
      </c>
      <c r="F86" s="143" t="s">
        <v>23</v>
      </c>
      <c r="G86" s="143"/>
      <c r="H86" s="143">
        <v>2.0499999999999998</v>
      </c>
      <c r="I86" s="143">
        <v>7.3999999999999996E-2</v>
      </c>
      <c r="J86" s="143"/>
      <c r="K86" s="147" t="str">
        <f t="shared" si="2"/>
        <v>n/a</v>
      </c>
      <c r="L86" s="147" t="str">
        <f t="shared" si="3"/>
        <v>n/a</v>
      </c>
      <c r="M86" s="143" t="s">
        <v>786</v>
      </c>
      <c r="N86" s="143"/>
      <c r="O86" s="143"/>
      <c r="P86" s="143"/>
      <c r="Q86" s="143"/>
      <c r="R86" s="144"/>
      <c r="S86" s="145"/>
      <c r="T86" s="145"/>
      <c r="U86" s="143"/>
    </row>
    <row r="87" spans="1:21" x14ac:dyDescent="0.3">
      <c r="A87" s="143" t="s">
        <v>545</v>
      </c>
      <c r="B87" s="147" t="e">
        <f>VLOOKUP(A87,'Product Cost - Price'!$D$5:$U$252,18,FALSE)</f>
        <v>#N/A</v>
      </c>
      <c r="C87" s="147" t="e">
        <f>VLOOKUP(A87,'Product Cost - Price'!$D$5:$U$252,17,FALSE)</f>
        <v>#N/A</v>
      </c>
      <c r="D87" s="145">
        <v>0</v>
      </c>
      <c r="E87" s="145">
        <v>0</v>
      </c>
      <c r="F87" s="143" t="s">
        <v>23</v>
      </c>
      <c r="G87" s="143"/>
      <c r="H87" s="143">
        <v>1.64</v>
      </c>
      <c r="I87" s="143">
        <v>7.3999999999999996E-2</v>
      </c>
      <c r="J87" s="143"/>
      <c r="K87" s="147" t="str">
        <f t="shared" si="2"/>
        <v>n/a</v>
      </c>
      <c r="L87" s="147" t="str">
        <f t="shared" si="3"/>
        <v>n/a</v>
      </c>
      <c r="M87" s="143" t="s">
        <v>786</v>
      </c>
      <c r="N87" s="143"/>
      <c r="O87" s="143"/>
      <c r="P87" s="143"/>
      <c r="Q87" s="143"/>
      <c r="R87" s="144"/>
      <c r="S87" s="145"/>
      <c r="T87" s="145"/>
      <c r="U87" s="143"/>
    </row>
    <row r="88" spans="1:21" x14ac:dyDescent="0.3">
      <c r="A88" s="143" t="s">
        <v>546</v>
      </c>
      <c r="B88" s="147" t="e">
        <f>VLOOKUP(A88,'Product Cost - Price'!$D$5:$U$252,18,FALSE)</f>
        <v>#N/A</v>
      </c>
      <c r="C88" s="147" t="e">
        <f>VLOOKUP(A88,'Product Cost - Price'!$D$5:$U$252,17,FALSE)</f>
        <v>#N/A</v>
      </c>
      <c r="D88" s="145">
        <v>0</v>
      </c>
      <c r="E88" s="145">
        <v>0</v>
      </c>
      <c r="F88" s="143" t="s">
        <v>23</v>
      </c>
      <c r="G88" s="143"/>
      <c r="H88" s="143">
        <v>1.48</v>
      </c>
      <c r="I88" s="143">
        <v>7.3999999999999996E-2</v>
      </c>
      <c r="J88" s="143"/>
      <c r="K88" s="147" t="str">
        <f t="shared" si="2"/>
        <v>n/a</v>
      </c>
      <c r="L88" s="147" t="str">
        <f t="shared" si="3"/>
        <v>n/a</v>
      </c>
      <c r="M88" s="143" t="s">
        <v>786</v>
      </c>
      <c r="N88" s="143"/>
      <c r="O88" s="143"/>
      <c r="P88" s="143"/>
      <c r="Q88" s="143"/>
      <c r="R88" s="144"/>
      <c r="S88" s="145"/>
      <c r="T88" s="145"/>
      <c r="U88" s="143"/>
    </row>
    <row r="89" spans="1:21" x14ac:dyDescent="0.3">
      <c r="A89" s="143" t="s">
        <v>304</v>
      </c>
      <c r="B89" s="147" t="e">
        <f>VLOOKUP(A89,'Product Cost - Price'!$D$5:$U$252,18,FALSE)</f>
        <v>#N/A</v>
      </c>
      <c r="C89" s="147" t="e">
        <f>VLOOKUP(A89,'Product Cost - Price'!$D$5:$U$252,17,FALSE)</f>
        <v>#N/A</v>
      </c>
      <c r="D89" s="143">
        <v>0</v>
      </c>
      <c r="E89" s="143">
        <v>0</v>
      </c>
      <c r="F89" s="143" t="s">
        <v>23</v>
      </c>
      <c r="G89" s="143"/>
      <c r="H89" s="143">
        <v>22.5</v>
      </c>
      <c r="I89" s="143">
        <v>18.5</v>
      </c>
      <c r="J89" s="143"/>
      <c r="K89" s="147" t="str">
        <f t="shared" si="2"/>
        <v>n/a</v>
      </c>
      <c r="L89" s="147" t="str">
        <f t="shared" si="3"/>
        <v>n/a</v>
      </c>
      <c r="M89" s="143" t="s">
        <v>786</v>
      </c>
      <c r="N89" s="143"/>
      <c r="O89" s="143"/>
      <c r="P89" s="143"/>
      <c r="Q89" s="143"/>
      <c r="R89" s="143"/>
      <c r="S89" s="143"/>
      <c r="T89" s="143"/>
      <c r="U89" s="143"/>
    </row>
    <row r="90" spans="1:21" x14ac:dyDescent="0.3">
      <c r="A90" s="143" t="s">
        <v>277</v>
      </c>
      <c r="B90" s="147" t="e">
        <f>VLOOKUP(A90,'Product Cost - Price'!$D$5:$U$252,18,FALSE)</f>
        <v>#N/A</v>
      </c>
      <c r="C90" s="147" t="e">
        <f>VLOOKUP(A90,'Product Cost - Price'!$D$5:$U$252,17,FALSE)</f>
        <v>#N/A</v>
      </c>
      <c r="D90" s="143">
        <v>0</v>
      </c>
      <c r="E90" s="143">
        <v>0</v>
      </c>
      <c r="F90" s="143" t="s">
        <v>23</v>
      </c>
      <c r="G90" s="143"/>
      <c r="H90" s="143">
        <v>22.4</v>
      </c>
      <c r="I90" s="143">
        <v>18.600000000000001</v>
      </c>
      <c r="J90" s="143"/>
      <c r="K90" s="147" t="str">
        <f t="shared" si="2"/>
        <v>n/a</v>
      </c>
      <c r="L90" s="147" t="str">
        <f t="shared" si="3"/>
        <v>n/a</v>
      </c>
      <c r="M90" s="143" t="s">
        <v>786</v>
      </c>
      <c r="N90" s="143"/>
      <c r="O90" s="143"/>
      <c r="P90" s="143"/>
      <c r="Q90" s="143"/>
      <c r="R90" s="143"/>
      <c r="S90" s="143"/>
      <c r="T90" s="143"/>
      <c r="U90" s="143"/>
    </row>
    <row r="91" spans="1:21" x14ac:dyDescent="0.3">
      <c r="A91" s="143" t="s">
        <v>393</v>
      </c>
      <c r="B91" s="147" t="e">
        <f>VLOOKUP(A91,'Product Cost - Price'!$D$5:$U$252,18,FALSE)</f>
        <v>#N/A</v>
      </c>
      <c r="C91" s="147">
        <v>0</v>
      </c>
      <c r="D91" s="145">
        <v>0</v>
      </c>
      <c r="E91" s="145">
        <v>0</v>
      </c>
      <c r="F91" s="143" t="s">
        <v>23</v>
      </c>
      <c r="G91" s="143"/>
      <c r="H91" s="143">
        <v>31.84</v>
      </c>
      <c r="I91" s="143">
        <v>7.3999999999999996E-2</v>
      </c>
      <c r="J91" s="143"/>
      <c r="K91" s="150" t="str">
        <f t="shared" si="2"/>
        <v>n/a</v>
      </c>
      <c r="L91" s="150">
        <f t="shared" si="3"/>
        <v>-7.3999999999999996E-2</v>
      </c>
      <c r="M91" s="143" t="s">
        <v>786</v>
      </c>
      <c r="N91" s="143"/>
      <c r="O91" s="143"/>
      <c r="P91" s="143"/>
      <c r="Q91" s="143"/>
      <c r="R91" s="144"/>
      <c r="S91" s="145"/>
      <c r="T91" s="145"/>
      <c r="U91" s="143"/>
    </row>
    <row r="92" spans="1:21" x14ac:dyDescent="0.3">
      <c r="A92" s="143" t="s">
        <v>117</v>
      </c>
      <c r="B92" s="147" t="e">
        <f>VLOOKUP(A92,'Product Cost - Price'!$D$5:$U$252,18,FALSE)</f>
        <v>#N/A</v>
      </c>
      <c r="C92" s="147">
        <v>0</v>
      </c>
      <c r="D92" s="145">
        <v>0</v>
      </c>
      <c r="E92" s="145">
        <v>0</v>
      </c>
      <c r="F92" s="143" t="s">
        <v>23</v>
      </c>
      <c r="G92" s="143"/>
      <c r="H92" s="143">
        <v>1.53</v>
      </c>
      <c r="I92" s="143">
        <v>7.3999999999999996E-2</v>
      </c>
      <c r="J92" s="143"/>
      <c r="K92" s="150" t="str">
        <f t="shared" si="2"/>
        <v>n/a</v>
      </c>
      <c r="L92" s="150">
        <f t="shared" si="3"/>
        <v>-7.3999999999999996E-2</v>
      </c>
      <c r="M92" s="143" t="s">
        <v>786</v>
      </c>
      <c r="N92" s="143"/>
      <c r="O92" s="143"/>
      <c r="P92" s="143"/>
      <c r="Q92" s="143"/>
      <c r="R92" s="144"/>
      <c r="S92" s="145"/>
      <c r="T92" s="145"/>
      <c r="U92" s="143"/>
    </row>
    <row r="93" spans="1:21" x14ac:dyDescent="0.3">
      <c r="A93" s="143" t="s">
        <v>404</v>
      </c>
      <c r="B93" s="147" t="e">
        <f>VLOOKUP(A93,'Product Cost - Price'!$D$5:$U$252,18,FALSE)</f>
        <v>#N/A</v>
      </c>
      <c r="C93" s="147">
        <v>0</v>
      </c>
      <c r="D93" s="145">
        <v>0</v>
      </c>
      <c r="E93" s="145">
        <v>0</v>
      </c>
      <c r="F93" s="143" t="s">
        <v>23</v>
      </c>
      <c r="G93" s="143"/>
      <c r="H93" s="143">
        <v>1.33</v>
      </c>
      <c r="I93" s="143">
        <v>7.3999999999999996E-2</v>
      </c>
      <c r="J93" s="143"/>
      <c r="K93" s="150" t="str">
        <f t="shared" si="2"/>
        <v>n/a</v>
      </c>
      <c r="L93" s="150">
        <f t="shared" si="3"/>
        <v>-7.3999999999999996E-2</v>
      </c>
      <c r="M93" s="143" t="s">
        <v>786</v>
      </c>
      <c r="N93" s="143"/>
      <c r="O93" s="143"/>
      <c r="P93" s="143"/>
      <c r="Q93" s="143"/>
      <c r="R93" s="144"/>
      <c r="S93" s="145"/>
      <c r="T93" s="145"/>
      <c r="U93" s="143"/>
    </row>
    <row r="94" spans="1:21" x14ac:dyDescent="0.3">
      <c r="A94" s="143" t="s">
        <v>375</v>
      </c>
      <c r="B94" s="147" t="e">
        <f>VLOOKUP(A94,'Product Cost - Price'!$D$5:$U$252,18,FALSE)</f>
        <v>#N/A</v>
      </c>
      <c r="C94" s="147">
        <v>0</v>
      </c>
      <c r="D94" s="145">
        <v>0</v>
      </c>
      <c r="E94" s="145">
        <v>0</v>
      </c>
      <c r="F94" s="143" t="s">
        <v>23</v>
      </c>
      <c r="G94" s="143"/>
      <c r="H94" s="143">
        <v>1.43</v>
      </c>
      <c r="I94" s="143">
        <v>7.3999999999999996E-2</v>
      </c>
      <c r="J94" s="143"/>
      <c r="K94" s="150" t="str">
        <f t="shared" si="2"/>
        <v>n/a</v>
      </c>
      <c r="L94" s="150">
        <f t="shared" si="3"/>
        <v>-7.3999999999999996E-2</v>
      </c>
      <c r="M94" s="143" t="s">
        <v>786</v>
      </c>
      <c r="N94" s="143"/>
      <c r="O94" s="143"/>
      <c r="P94" s="143"/>
      <c r="Q94" s="143"/>
      <c r="R94" s="144"/>
      <c r="S94" s="145"/>
      <c r="T94" s="145"/>
      <c r="U94" s="143"/>
    </row>
    <row r="95" spans="1:21" x14ac:dyDescent="0.3">
      <c r="A95" s="143" t="s">
        <v>297</v>
      </c>
      <c r="B95" s="147" t="e">
        <f>VLOOKUP(A95,'Product Cost - Price'!$D$5:$U$252,18,FALSE)</f>
        <v>#N/A</v>
      </c>
      <c r="C95" s="147" t="e">
        <f>VLOOKUP(A95,'Product Cost - Price'!$D$5:$U$252,17,FALSE)</f>
        <v>#N/A</v>
      </c>
      <c r="D95" s="143">
        <v>1.3</v>
      </c>
      <c r="E95" s="143">
        <v>0</v>
      </c>
      <c r="F95" s="143" t="s">
        <v>23</v>
      </c>
      <c r="G95" s="143"/>
      <c r="H95" s="143">
        <v>0.98</v>
      </c>
      <c r="I95" s="143">
        <v>0.91</v>
      </c>
      <c r="J95" s="143"/>
      <c r="K95" s="147" t="str">
        <f t="shared" si="2"/>
        <v>n/a</v>
      </c>
      <c r="L95" s="147" t="str">
        <f t="shared" si="3"/>
        <v>n/a</v>
      </c>
      <c r="M95" s="143" t="s">
        <v>786</v>
      </c>
      <c r="N95" s="143"/>
      <c r="O95" s="143"/>
      <c r="P95" s="143"/>
      <c r="Q95" s="143"/>
      <c r="R95" s="143"/>
      <c r="S95" s="143"/>
      <c r="T95" s="143"/>
      <c r="U95" s="143"/>
    </row>
    <row r="96" spans="1:21" x14ac:dyDescent="0.3">
      <c r="A96" s="143" t="s">
        <v>85</v>
      </c>
      <c r="B96" s="147" t="e">
        <f>VLOOKUP(A96,'Product Cost - Price'!$D$5:$U$252,18,FALSE)</f>
        <v>#N/A</v>
      </c>
      <c r="C96" s="147" t="e">
        <f>VLOOKUP(A96,'Product Cost - Price'!$D$5:$U$252,17,FALSE)</f>
        <v>#N/A</v>
      </c>
      <c r="D96" s="143">
        <v>1.46</v>
      </c>
      <c r="E96" s="143">
        <v>0</v>
      </c>
      <c r="F96" s="143" t="s">
        <v>23</v>
      </c>
      <c r="G96" s="143"/>
      <c r="H96" s="143">
        <v>0.77</v>
      </c>
      <c r="I96" s="143">
        <v>0.72</v>
      </c>
      <c r="J96" s="143"/>
      <c r="K96" s="147" t="str">
        <f t="shared" si="2"/>
        <v>n/a</v>
      </c>
      <c r="L96" s="147" t="str">
        <f t="shared" si="3"/>
        <v>n/a</v>
      </c>
      <c r="M96" s="143" t="s">
        <v>786</v>
      </c>
      <c r="N96" s="143"/>
      <c r="O96" s="143"/>
      <c r="P96" s="143"/>
      <c r="Q96" s="143"/>
      <c r="R96" s="143"/>
      <c r="S96" s="143"/>
      <c r="T96" s="143"/>
      <c r="U96" s="143"/>
    </row>
    <row r="97" spans="1:21" x14ac:dyDescent="0.3">
      <c r="A97" s="143" t="s">
        <v>108</v>
      </c>
      <c r="B97" s="147" t="e">
        <f>VLOOKUP(A97,'Product Cost - Price'!$D$5:$U$252,18,FALSE)</f>
        <v>#N/A</v>
      </c>
      <c r="C97" s="147" t="e">
        <f>VLOOKUP(A97,'Product Cost - Price'!$D$5:$U$252,17,FALSE)</f>
        <v>#N/A</v>
      </c>
      <c r="D97" s="143">
        <v>1.6</v>
      </c>
      <c r="E97" s="143">
        <v>0</v>
      </c>
      <c r="F97" s="143" t="s">
        <v>23</v>
      </c>
      <c r="G97" s="143"/>
      <c r="H97" s="143">
        <v>1.07</v>
      </c>
      <c r="I97" s="143">
        <v>0.99</v>
      </c>
      <c r="J97" s="143"/>
      <c r="K97" s="147" t="str">
        <f t="shared" si="2"/>
        <v>n/a</v>
      </c>
      <c r="L97" s="147" t="str">
        <f t="shared" si="3"/>
        <v>n/a</v>
      </c>
      <c r="M97" s="143" t="s">
        <v>786</v>
      </c>
      <c r="N97" s="143"/>
      <c r="O97" s="143"/>
      <c r="P97" s="143"/>
      <c r="Q97" s="143"/>
      <c r="R97" s="143"/>
      <c r="S97" s="143"/>
      <c r="T97" s="143"/>
      <c r="U97" s="143"/>
    </row>
    <row r="98" spans="1:21" x14ac:dyDescent="0.3">
      <c r="A98" s="143" t="s">
        <v>76</v>
      </c>
      <c r="B98" s="147" t="e">
        <f>VLOOKUP(A98,'Product Cost - Price'!$D$5:$U$252,18,FALSE)</f>
        <v>#N/A</v>
      </c>
      <c r="C98" s="147" t="e">
        <f>VLOOKUP(A98,'Product Cost - Price'!$D$5:$U$252,17,FALSE)</f>
        <v>#N/A</v>
      </c>
      <c r="D98" s="143">
        <v>0.99</v>
      </c>
      <c r="E98" s="143">
        <v>0</v>
      </c>
      <c r="F98" s="143" t="s">
        <v>23</v>
      </c>
      <c r="G98" s="143"/>
      <c r="H98" s="143">
        <v>0.66</v>
      </c>
      <c r="I98" s="143">
        <v>0.62</v>
      </c>
      <c r="J98" s="143"/>
      <c r="K98" s="147" t="str">
        <f t="shared" si="2"/>
        <v>n/a</v>
      </c>
      <c r="L98" s="147" t="str">
        <f t="shared" si="3"/>
        <v>n/a</v>
      </c>
      <c r="M98" s="143" t="s">
        <v>786</v>
      </c>
      <c r="N98" s="143"/>
      <c r="O98" s="143"/>
      <c r="P98" s="143"/>
      <c r="Q98" s="143"/>
      <c r="R98" s="143"/>
      <c r="S98" s="143"/>
      <c r="T98" s="143"/>
      <c r="U98" s="143"/>
    </row>
    <row r="99" spans="1:21" x14ac:dyDescent="0.3">
      <c r="A99" s="143" t="s">
        <v>209</v>
      </c>
      <c r="B99" s="147" t="e">
        <f>VLOOKUP(A99,'Product Cost - Price'!$D$5:$U$252,18,FALSE)</f>
        <v>#N/A</v>
      </c>
      <c r="C99" s="147" t="e">
        <f>VLOOKUP(A99,'Product Cost - Price'!$D$5:$U$252,17,FALSE)</f>
        <v>#N/A</v>
      </c>
      <c r="D99" s="143">
        <v>0.63</v>
      </c>
      <c r="E99" s="143">
        <v>0</v>
      </c>
      <c r="F99" s="143" t="s">
        <v>23</v>
      </c>
      <c r="G99" s="143"/>
      <c r="H99" s="143">
        <v>0.63</v>
      </c>
      <c r="I99" s="143">
        <v>0.63</v>
      </c>
      <c r="J99" s="143"/>
      <c r="K99" s="147" t="str">
        <f t="shared" si="2"/>
        <v>n/a</v>
      </c>
      <c r="L99" s="147" t="str">
        <f t="shared" si="3"/>
        <v>n/a</v>
      </c>
      <c r="M99" s="143" t="s">
        <v>786</v>
      </c>
      <c r="N99" s="143"/>
      <c r="O99" s="143"/>
      <c r="P99" s="143"/>
      <c r="Q99" s="143"/>
      <c r="R99" s="143"/>
      <c r="S99" s="143"/>
      <c r="T99" s="143"/>
      <c r="U99" s="143"/>
    </row>
    <row r="100" spans="1:21" x14ac:dyDescent="0.3">
      <c r="A100" s="143" t="s">
        <v>294</v>
      </c>
      <c r="B100" s="147" t="e">
        <f>VLOOKUP(A100,'Product Cost - Price'!$D$5:$U$252,18,FALSE)</f>
        <v>#N/A</v>
      </c>
      <c r="C100" s="147" t="e">
        <f>VLOOKUP(A100,'Product Cost - Price'!$D$5:$U$252,17,FALSE)</f>
        <v>#N/A</v>
      </c>
      <c r="D100" s="143">
        <v>1.52</v>
      </c>
      <c r="E100" s="143">
        <v>0</v>
      </c>
      <c r="F100" s="143" t="s">
        <v>23</v>
      </c>
      <c r="G100" s="143"/>
      <c r="H100" s="143">
        <v>0.93</v>
      </c>
      <c r="I100" s="143">
        <v>0.86</v>
      </c>
      <c r="J100" s="143"/>
      <c r="K100" s="147" t="str">
        <f t="shared" si="2"/>
        <v>n/a</v>
      </c>
      <c r="L100" s="147" t="str">
        <f t="shared" si="3"/>
        <v>n/a</v>
      </c>
      <c r="M100" s="143" t="s">
        <v>786</v>
      </c>
      <c r="N100" s="143"/>
      <c r="O100" s="143"/>
      <c r="P100" s="143"/>
      <c r="Q100" s="143"/>
      <c r="R100" s="143"/>
      <c r="S100" s="143"/>
      <c r="T100" s="143"/>
      <c r="U100" s="143"/>
    </row>
    <row r="101" spans="1:21" x14ac:dyDescent="0.3">
      <c r="A101" s="143" t="s">
        <v>199</v>
      </c>
      <c r="B101" s="147" t="e">
        <f>VLOOKUP(A101,'Product Cost - Price'!$D$5:$U$252,18,FALSE)</f>
        <v>#N/A</v>
      </c>
      <c r="C101" s="147" t="e">
        <f>VLOOKUP(A101,'Product Cost - Price'!$D$5:$U$252,17,FALSE)</f>
        <v>#N/A</v>
      </c>
      <c r="D101" s="143">
        <v>0</v>
      </c>
      <c r="E101" s="143">
        <v>0</v>
      </c>
      <c r="F101" s="143" t="s">
        <v>23</v>
      </c>
      <c r="G101" s="143"/>
      <c r="H101" s="143">
        <v>0.72</v>
      </c>
      <c r="I101" s="143">
        <v>0.68</v>
      </c>
      <c r="J101" s="143"/>
      <c r="K101" s="147" t="str">
        <f t="shared" si="2"/>
        <v>n/a</v>
      </c>
      <c r="L101" s="147" t="str">
        <f t="shared" si="3"/>
        <v>n/a</v>
      </c>
      <c r="M101" s="143" t="s">
        <v>786</v>
      </c>
      <c r="N101" s="143"/>
      <c r="O101" s="143"/>
      <c r="P101" s="143"/>
      <c r="Q101" s="143"/>
      <c r="R101" s="143"/>
      <c r="S101" s="143"/>
      <c r="T101" s="143"/>
      <c r="U101" s="143"/>
    </row>
    <row r="102" spans="1:21" x14ac:dyDescent="0.3">
      <c r="A102" s="143" t="s">
        <v>295</v>
      </c>
      <c r="B102" s="147" t="e">
        <f>VLOOKUP(A102,'Product Cost - Price'!$D$5:$U$252,18,FALSE)</f>
        <v>#N/A</v>
      </c>
      <c r="C102" s="147" t="e">
        <f>VLOOKUP(A102,'Product Cost - Price'!$D$5:$U$252,17,FALSE)</f>
        <v>#N/A</v>
      </c>
      <c r="D102" s="143">
        <v>3.03</v>
      </c>
      <c r="E102" s="143">
        <v>0</v>
      </c>
      <c r="F102" s="143" t="s">
        <v>23</v>
      </c>
      <c r="G102" s="143"/>
      <c r="H102" s="143">
        <v>2.3199999999999998</v>
      </c>
      <c r="I102" s="143">
        <v>2.17</v>
      </c>
      <c r="J102" s="143"/>
      <c r="K102" s="147" t="str">
        <f t="shared" si="2"/>
        <v>n/a</v>
      </c>
      <c r="L102" s="147" t="str">
        <f t="shared" si="3"/>
        <v>n/a</v>
      </c>
      <c r="M102" s="143" t="s">
        <v>786</v>
      </c>
      <c r="N102" s="143"/>
      <c r="O102" s="143"/>
      <c r="P102" s="143"/>
      <c r="Q102" s="143"/>
      <c r="R102" s="143"/>
      <c r="S102" s="143"/>
      <c r="T102" s="143"/>
      <c r="U102" s="143"/>
    </row>
    <row r="103" spans="1:21" x14ac:dyDescent="0.3">
      <c r="A103" s="143" t="s">
        <v>89</v>
      </c>
      <c r="B103" s="147" t="e">
        <f>VLOOKUP(A103,'Product Cost - Price'!$D$5:$U$252,18,FALSE)</f>
        <v>#N/A</v>
      </c>
      <c r="C103" s="147" t="e">
        <f>VLOOKUP(A103,'Product Cost - Price'!$D$5:$U$252,17,FALSE)</f>
        <v>#N/A</v>
      </c>
      <c r="D103" s="143">
        <v>1.71</v>
      </c>
      <c r="E103" s="143">
        <v>0</v>
      </c>
      <c r="F103" s="143" t="s">
        <v>23</v>
      </c>
      <c r="G103" s="143"/>
      <c r="H103" s="143">
        <v>1.31</v>
      </c>
      <c r="I103" s="143">
        <v>1.22</v>
      </c>
      <c r="J103" s="143"/>
      <c r="K103" s="147" t="str">
        <f t="shared" si="2"/>
        <v>n/a</v>
      </c>
      <c r="L103" s="147" t="str">
        <f t="shared" si="3"/>
        <v>n/a</v>
      </c>
      <c r="M103" s="143" t="s">
        <v>786</v>
      </c>
      <c r="N103" s="143"/>
      <c r="O103" s="143"/>
      <c r="P103" s="143"/>
      <c r="Q103" s="143"/>
      <c r="R103" s="143"/>
      <c r="S103" s="143"/>
      <c r="T103" s="143"/>
      <c r="U103" s="143"/>
    </row>
    <row r="104" spans="1:21" x14ac:dyDescent="0.3">
      <c r="A104" s="143" t="s">
        <v>242</v>
      </c>
      <c r="B104" s="147">
        <f>VLOOKUP(A104,'Product Cost - Price'!$D$5:$U$252,18,FALSE)</f>
        <v>17.100000000000001</v>
      </c>
      <c r="C104" s="147">
        <f>VLOOKUP(A104,'Product Cost - Price'!$D$5:$U$252,17,FALSE)</f>
        <v>15.952235772357724</v>
      </c>
      <c r="D104" s="143">
        <v>25.3</v>
      </c>
      <c r="E104" s="143">
        <v>0</v>
      </c>
      <c r="F104" s="143" t="s">
        <v>23</v>
      </c>
      <c r="G104" s="143"/>
      <c r="H104" s="143">
        <v>15.4</v>
      </c>
      <c r="I104" s="143">
        <v>14.33</v>
      </c>
      <c r="J104" s="143"/>
      <c r="K104" s="147">
        <f t="shared" si="2"/>
        <v>1.7000000000000011</v>
      </c>
      <c r="L104" s="147">
        <f t="shared" si="3"/>
        <v>1.6222357723577243</v>
      </c>
      <c r="M104" s="143" t="s">
        <v>786</v>
      </c>
      <c r="N104" s="143"/>
      <c r="O104" s="143"/>
      <c r="P104" s="143"/>
      <c r="Q104" s="143"/>
      <c r="R104" s="143"/>
      <c r="S104" s="143"/>
      <c r="T104" s="143"/>
      <c r="U104" s="143"/>
    </row>
    <row r="105" spans="1:21" x14ac:dyDescent="0.3">
      <c r="A105" s="143" t="s">
        <v>33</v>
      </c>
      <c r="B105" s="147">
        <f>VLOOKUP(A105,'Product Cost - Price'!$D$5:$U$252,18,FALSE)</f>
        <v>35.800000000000004</v>
      </c>
      <c r="C105" s="147">
        <f>VLOOKUP(A105,'Product Cost - Price'!$D$5:$U$252,17,FALSE)</f>
        <v>33.366869918699187</v>
      </c>
      <c r="D105" s="143">
        <v>51.1</v>
      </c>
      <c r="E105" s="143">
        <v>0</v>
      </c>
      <c r="F105" s="143" t="s">
        <v>23</v>
      </c>
      <c r="G105" s="143"/>
      <c r="H105" s="143">
        <v>34.1</v>
      </c>
      <c r="I105" s="143">
        <v>31.75</v>
      </c>
      <c r="J105" s="143"/>
      <c r="K105" s="147">
        <f t="shared" si="2"/>
        <v>1.7000000000000028</v>
      </c>
      <c r="L105" s="147">
        <f t="shared" si="3"/>
        <v>1.6168699186991873</v>
      </c>
      <c r="M105" s="143" t="s">
        <v>786</v>
      </c>
      <c r="N105" s="143"/>
      <c r="O105" s="143"/>
      <c r="P105" s="143"/>
      <c r="Q105" s="143"/>
      <c r="R105" s="143"/>
      <c r="S105" s="143"/>
      <c r="T105" s="143"/>
      <c r="U105" s="143"/>
    </row>
    <row r="106" spans="1:21" x14ac:dyDescent="0.3">
      <c r="A106" s="143" t="s">
        <v>38</v>
      </c>
      <c r="B106" s="147">
        <f>VLOOKUP(A106,'Product Cost - Price'!$D$5:$U$252,18,FALSE)</f>
        <v>20.8</v>
      </c>
      <c r="C106" s="147">
        <f>VLOOKUP(A106,'Product Cost - Price'!$D$5:$U$252,17,FALSE)</f>
        <v>19.369308943089433</v>
      </c>
      <c r="D106" s="143">
        <v>34.5</v>
      </c>
      <c r="E106" s="143">
        <v>0</v>
      </c>
      <c r="F106" s="143" t="s">
        <v>23</v>
      </c>
      <c r="G106" s="143"/>
      <c r="H106" s="143">
        <v>19.100000000000001</v>
      </c>
      <c r="I106" s="143">
        <v>17.75</v>
      </c>
      <c r="J106" s="143"/>
      <c r="K106" s="147">
        <f t="shared" si="2"/>
        <v>1.6999999999999993</v>
      </c>
      <c r="L106" s="147">
        <f t="shared" si="3"/>
        <v>1.6193089430894325</v>
      </c>
      <c r="M106" s="143" t="s">
        <v>786</v>
      </c>
      <c r="N106" s="143"/>
      <c r="O106" s="143"/>
      <c r="P106" s="143"/>
      <c r="Q106" s="143"/>
      <c r="R106" s="143"/>
      <c r="S106" s="143"/>
      <c r="T106" s="143"/>
      <c r="U106" s="143"/>
    </row>
    <row r="107" spans="1:21" x14ac:dyDescent="0.3">
      <c r="A107" s="143" t="s">
        <v>160</v>
      </c>
      <c r="B107" s="147">
        <f>VLOOKUP(A107,'Product Cost - Price'!$D$5:$U$252,18,FALSE)</f>
        <v>58.9</v>
      </c>
      <c r="C107" s="147">
        <f>VLOOKUP(A107,'Product Cost - Price'!$D$5:$U$252,17,FALSE)</f>
        <v>54.940040650406495</v>
      </c>
      <c r="D107" s="143">
        <v>48.75</v>
      </c>
      <c r="E107" s="143">
        <v>0</v>
      </c>
      <c r="F107" s="143" t="s">
        <v>23</v>
      </c>
      <c r="G107" s="143"/>
      <c r="H107" s="143">
        <v>57.2</v>
      </c>
      <c r="I107" s="143">
        <v>53.32</v>
      </c>
      <c r="J107" s="143"/>
      <c r="K107" s="147">
        <f t="shared" si="2"/>
        <v>1.6999999999999957</v>
      </c>
      <c r="L107" s="147">
        <f t="shared" si="3"/>
        <v>1.6200406504064944</v>
      </c>
      <c r="M107" s="143" t="s">
        <v>786</v>
      </c>
      <c r="N107" s="143"/>
      <c r="O107" s="143"/>
      <c r="P107" s="143"/>
      <c r="Q107" s="143"/>
      <c r="R107" s="143"/>
      <c r="S107" s="143"/>
      <c r="T107" s="143"/>
      <c r="U107" s="143"/>
    </row>
    <row r="108" spans="1:21" x14ac:dyDescent="0.3">
      <c r="A108" s="143" t="s">
        <v>163</v>
      </c>
      <c r="B108" s="147">
        <f>VLOOKUP(A108,'Product Cost - Price'!$D$5:$U$252,18,FALSE)</f>
        <v>32.800000000000004</v>
      </c>
      <c r="C108" s="147">
        <f>VLOOKUP(A108,'Product Cost - Price'!$D$5:$U$252,17,FALSE)</f>
        <v>30.549796747967477</v>
      </c>
      <c r="D108" s="143">
        <v>42.45</v>
      </c>
      <c r="E108" s="143">
        <v>0</v>
      </c>
      <c r="F108" s="143" t="s">
        <v>23</v>
      </c>
      <c r="G108" s="143"/>
      <c r="H108" s="143">
        <v>31.1</v>
      </c>
      <c r="I108" s="143">
        <v>28.93</v>
      </c>
      <c r="J108" s="143"/>
      <c r="K108" s="147">
        <f t="shared" si="2"/>
        <v>1.7000000000000028</v>
      </c>
      <c r="L108" s="147">
        <f t="shared" si="3"/>
        <v>1.6197967479674773</v>
      </c>
      <c r="M108" s="143" t="s">
        <v>786</v>
      </c>
      <c r="N108" s="143"/>
      <c r="O108" s="143"/>
      <c r="P108" s="143"/>
      <c r="Q108" s="143"/>
      <c r="R108" s="143"/>
      <c r="S108" s="143"/>
      <c r="T108" s="143"/>
      <c r="U108" s="143"/>
    </row>
    <row r="109" spans="1:21" x14ac:dyDescent="0.3">
      <c r="A109" s="143" t="s">
        <v>233</v>
      </c>
      <c r="B109" s="147">
        <f>VLOOKUP(A109,'Product Cost - Price'!$D$5:$U$252,18,FALSE)</f>
        <v>48.7</v>
      </c>
      <c r="C109" s="147">
        <f>VLOOKUP(A109,'Product Cost - Price'!$D$5:$U$252,17,FALSE)</f>
        <v>45.403455284552834</v>
      </c>
      <c r="D109" s="143">
        <v>62.85</v>
      </c>
      <c r="E109" s="143">
        <v>0</v>
      </c>
      <c r="F109" s="143" t="s">
        <v>23</v>
      </c>
      <c r="G109" s="143"/>
      <c r="H109" s="143">
        <v>47</v>
      </c>
      <c r="I109" s="143">
        <v>43.78</v>
      </c>
      <c r="J109" s="143"/>
      <c r="K109" s="147">
        <f t="shared" si="2"/>
        <v>1.7000000000000028</v>
      </c>
      <c r="L109" s="147">
        <f t="shared" si="3"/>
        <v>1.6234552845528327</v>
      </c>
      <c r="M109" s="143" t="s">
        <v>786</v>
      </c>
      <c r="N109" s="143"/>
      <c r="O109" s="143"/>
      <c r="P109" s="143"/>
      <c r="Q109" s="143"/>
      <c r="R109" s="143"/>
      <c r="S109" s="143"/>
      <c r="T109" s="143"/>
      <c r="U109" s="143"/>
    </row>
    <row r="110" spans="1:21" x14ac:dyDescent="0.3">
      <c r="A110" s="143" t="s">
        <v>269</v>
      </c>
      <c r="B110" s="147" t="e">
        <f>VLOOKUP(A110,'Product Cost - Price'!$D$5:$U$252,18,FALSE)</f>
        <v>#N/A</v>
      </c>
      <c r="C110" s="147" t="e">
        <f>VLOOKUP(A110,'Product Cost - Price'!$D$5:$U$252,17,FALSE)</f>
        <v>#N/A</v>
      </c>
      <c r="D110" s="143">
        <v>26.75</v>
      </c>
      <c r="E110" s="143">
        <v>0</v>
      </c>
      <c r="F110" s="143" t="s">
        <v>23</v>
      </c>
      <c r="G110" s="143"/>
      <c r="H110" s="143">
        <v>20.100000000000001</v>
      </c>
      <c r="I110" s="143">
        <v>18.68</v>
      </c>
      <c r="J110" s="143"/>
      <c r="K110" s="147" t="str">
        <f t="shared" si="2"/>
        <v>n/a</v>
      </c>
      <c r="L110" s="147" t="str">
        <f t="shared" si="3"/>
        <v>n/a</v>
      </c>
      <c r="M110" s="143" t="s">
        <v>786</v>
      </c>
      <c r="N110" s="143"/>
      <c r="O110" s="143"/>
      <c r="P110" s="143"/>
      <c r="Q110" s="143"/>
      <c r="R110" s="143"/>
      <c r="S110" s="143"/>
      <c r="T110" s="143"/>
      <c r="U110" s="143"/>
    </row>
    <row r="111" spans="1:21" x14ac:dyDescent="0.3">
      <c r="A111" s="143" t="s">
        <v>309</v>
      </c>
      <c r="B111" s="147" t="e">
        <f>VLOOKUP(A111,'Product Cost - Price'!$D$5:$U$252,18,FALSE)</f>
        <v>#N/A</v>
      </c>
      <c r="C111" s="147" t="e">
        <f>VLOOKUP(A111,'Product Cost - Price'!$D$5:$U$252,17,FALSE)</f>
        <v>#N/A</v>
      </c>
      <c r="D111" s="143">
        <v>95</v>
      </c>
      <c r="E111" s="143">
        <v>0</v>
      </c>
      <c r="F111" s="143" t="s">
        <v>23</v>
      </c>
      <c r="G111" s="143"/>
      <c r="H111" s="143">
        <v>44</v>
      </c>
      <c r="I111" s="143">
        <v>40.97</v>
      </c>
      <c r="J111" s="143"/>
      <c r="K111" s="147" t="str">
        <f t="shared" si="2"/>
        <v>n/a</v>
      </c>
      <c r="L111" s="147" t="str">
        <f t="shared" si="3"/>
        <v>n/a</v>
      </c>
      <c r="M111" s="143" t="s">
        <v>786</v>
      </c>
      <c r="N111" s="143"/>
      <c r="O111" s="143"/>
      <c r="P111" s="143"/>
      <c r="Q111" s="143"/>
      <c r="R111" s="143"/>
      <c r="S111" s="143"/>
      <c r="T111" s="143"/>
      <c r="U111" s="143"/>
    </row>
    <row r="112" spans="1:21" x14ac:dyDescent="0.3">
      <c r="A112" s="143" t="s">
        <v>152</v>
      </c>
      <c r="B112" s="147">
        <f>VLOOKUP(A112,'Product Cost - Price'!$D$5:$U$252,18,FALSE)</f>
        <v>28.400000000000002</v>
      </c>
      <c r="C112" s="147">
        <f>VLOOKUP(A112,'Product Cost - Price'!$D$5:$U$252,17,FALSE)</f>
        <v>26.452235772357728</v>
      </c>
      <c r="D112" s="143">
        <v>35.35</v>
      </c>
      <c r="E112" s="143">
        <v>0</v>
      </c>
      <c r="F112" s="143" t="s">
        <v>23</v>
      </c>
      <c r="G112" s="143"/>
      <c r="H112" s="143">
        <v>26.7</v>
      </c>
      <c r="I112" s="143">
        <v>24.83</v>
      </c>
      <c r="J112" s="143"/>
      <c r="K112" s="147">
        <f t="shared" si="2"/>
        <v>1.7000000000000028</v>
      </c>
      <c r="L112" s="147">
        <f t="shared" si="3"/>
        <v>1.6222357723577296</v>
      </c>
      <c r="M112" s="143" t="s">
        <v>786</v>
      </c>
      <c r="N112" s="143"/>
      <c r="O112" s="143"/>
      <c r="P112" s="143"/>
      <c r="Q112" s="143"/>
      <c r="R112" s="143"/>
      <c r="S112" s="143"/>
      <c r="T112" s="143"/>
      <c r="U112" s="143"/>
    </row>
    <row r="113" spans="1:21" x14ac:dyDescent="0.3">
      <c r="A113" s="143" t="s">
        <v>376</v>
      </c>
      <c r="B113" s="147" t="e">
        <f>VLOOKUP(A113,'Product Cost - Price'!$D$5:$U$252,18,FALSE)</f>
        <v>#N/A</v>
      </c>
      <c r="C113" s="147">
        <v>0</v>
      </c>
      <c r="D113" s="145">
        <v>0</v>
      </c>
      <c r="E113" s="145">
        <v>0</v>
      </c>
      <c r="F113" s="143" t="s">
        <v>23</v>
      </c>
      <c r="G113" s="143"/>
      <c r="H113" s="143">
        <v>1.43</v>
      </c>
      <c r="I113" s="143">
        <v>7.3999999999999996E-2</v>
      </c>
      <c r="J113" s="143"/>
      <c r="K113" s="150" t="str">
        <f t="shared" si="2"/>
        <v>n/a</v>
      </c>
      <c r="L113" s="150">
        <f t="shared" si="3"/>
        <v>-7.3999999999999996E-2</v>
      </c>
      <c r="M113" s="143" t="s">
        <v>786</v>
      </c>
      <c r="N113" s="143"/>
      <c r="O113" s="143"/>
      <c r="P113" s="143"/>
      <c r="Q113" s="143"/>
      <c r="R113" s="144"/>
      <c r="S113" s="145"/>
      <c r="T113" s="145"/>
      <c r="U113" s="143"/>
    </row>
    <row r="114" spans="1:21" x14ac:dyDescent="0.3">
      <c r="A114" s="143" t="s">
        <v>28</v>
      </c>
      <c r="B114" s="147">
        <f>VLOOKUP(A114,'Product Cost - Price'!$D$5:$U$252,18,FALSE)</f>
        <v>23.6</v>
      </c>
      <c r="C114" s="147">
        <f>VLOOKUP(A114,'Product Cost - Price'!$D$5:$U$252,17,FALSE)</f>
        <v>21.976016260162606</v>
      </c>
      <c r="D114" s="143">
        <v>32.75</v>
      </c>
      <c r="E114" s="143">
        <v>0</v>
      </c>
      <c r="F114" s="143" t="s">
        <v>23</v>
      </c>
      <c r="G114" s="143"/>
      <c r="H114" s="143">
        <v>21.9</v>
      </c>
      <c r="I114" s="143">
        <v>20.36</v>
      </c>
      <c r="J114" s="143"/>
      <c r="K114" s="147">
        <f t="shared" si="2"/>
        <v>1.7000000000000028</v>
      </c>
      <c r="L114" s="147">
        <f t="shared" si="3"/>
        <v>1.6160162601626062</v>
      </c>
      <c r="M114" s="143" t="s">
        <v>786</v>
      </c>
      <c r="N114" s="143"/>
      <c r="O114" s="143"/>
      <c r="P114" s="143"/>
      <c r="Q114" s="143"/>
      <c r="R114" s="143"/>
      <c r="S114" s="143"/>
      <c r="T114" s="143"/>
      <c r="U114" s="143"/>
    </row>
    <row r="115" spans="1:21" x14ac:dyDescent="0.3">
      <c r="A115" s="143" t="s">
        <v>378</v>
      </c>
      <c r="B115" s="147" t="e">
        <f>VLOOKUP(A115,'Product Cost - Price'!$D$5:$U$252,18,FALSE)</f>
        <v>#N/A</v>
      </c>
      <c r="C115" s="147">
        <v>0</v>
      </c>
      <c r="D115" s="145">
        <v>0</v>
      </c>
      <c r="E115" s="145">
        <v>0</v>
      </c>
      <c r="F115" s="143" t="s">
        <v>23</v>
      </c>
      <c r="G115" s="143"/>
      <c r="H115" s="143">
        <v>27.43</v>
      </c>
      <c r="I115" s="143">
        <v>7.3999999999999996E-2</v>
      </c>
      <c r="J115" s="143"/>
      <c r="K115" s="150" t="str">
        <f t="shared" si="2"/>
        <v>n/a</v>
      </c>
      <c r="L115" s="150">
        <f t="shared" si="3"/>
        <v>-7.3999999999999996E-2</v>
      </c>
      <c r="M115" s="143" t="s">
        <v>786</v>
      </c>
      <c r="N115" s="143"/>
      <c r="O115" s="143"/>
      <c r="P115" s="143"/>
      <c r="Q115" s="143"/>
      <c r="R115" s="144"/>
      <c r="S115" s="145"/>
      <c r="T115" s="145"/>
      <c r="U115" s="143"/>
    </row>
    <row r="116" spans="1:21" x14ac:dyDescent="0.3">
      <c r="A116" s="143" t="s">
        <v>403</v>
      </c>
      <c r="B116" s="147" t="e">
        <f>VLOOKUP(A116,'Product Cost - Price'!$D$5:$U$252,18,FALSE)</f>
        <v>#N/A</v>
      </c>
      <c r="C116" s="147">
        <v>0</v>
      </c>
      <c r="D116" s="145">
        <v>0</v>
      </c>
      <c r="E116" s="145">
        <v>0</v>
      </c>
      <c r="F116" s="143" t="s">
        <v>23</v>
      </c>
      <c r="G116" s="143"/>
      <c r="H116" s="143">
        <v>2.12</v>
      </c>
      <c r="I116" s="143">
        <v>0</v>
      </c>
      <c r="J116" s="143"/>
      <c r="K116" s="150" t="str">
        <f t="shared" si="2"/>
        <v>n/a</v>
      </c>
      <c r="L116" s="150">
        <f t="shared" si="3"/>
        <v>0</v>
      </c>
      <c r="M116" s="143" t="s">
        <v>786</v>
      </c>
      <c r="N116" s="143"/>
      <c r="O116" s="143"/>
      <c r="P116" s="143"/>
      <c r="Q116" s="143"/>
      <c r="R116" s="144"/>
      <c r="S116" s="145"/>
      <c r="T116" s="145"/>
      <c r="U116" s="143"/>
    </row>
    <row r="117" spans="1:21" x14ac:dyDescent="0.3">
      <c r="A117" s="143" t="s">
        <v>47</v>
      </c>
      <c r="B117" s="147">
        <f>VLOOKUP(A117,'Product Cost - Price'!$D$5:$U$252,18,FALSE)</f>
        <v>30.400000000000002</v>
      </c>
      <c r="C117" s="147">
        <f>VLOOKUP(A117,'Product Cost - Price'!$D$5:$U$252,17,FALSE)</f>
        <v>27.061580592192382</v>
      </c>
      <c r="D117" s="143">
        <v>42.2</v>
      </c>
      <c r="E117" s="143">
        <v>0</v>
      </c>
      <c r="F117" s="143" t="s">
        <v>23</v>
      </c>
      <c r="G117" s="143"/>
      <c r="H117" s="143">
        <v>28.4</v>
      </c>
      <c r="I117" s="143">
        <v>25.21</v>
      </c>
      <c r="J117" s="143"/>
      <c r="K117" s="147">
        <f t="shared" si="2"/>
        <v>2.0000000000000036</v>
      </c>
      <c r="L117" s="147">
        <f t="shared" si="3"/>
        <v>1.8515805921923807</v>
      </c>
      <c r="M117" s="143" t="s">
        <v>786</v>
      </c>
      <c r="N117" s="143"/>
      <c r="O117" s="143"/>
      <c r="P117" s="143"/>
      <c r="Q117" s="143"/>
      <c r="R117" s="143"/>
      <c r="S117" s="143"/>
      <c r="T117" s="143"/>
      <c r="U117" s="143"/>
    </row>
    <row r="118" spans="1:21" x14ac:dyDescent="0.3">
      <c r="A118" s="143" t="s">
        <v>267</v>
      </c>
      <c r="B118" s="147" t="e">
        <f>VLOOKUP(A118,'Product Cost - Price'!$D$5:$U$252,18,FALSE)</f>
        <v>#N/A</v>
      </c>
      <c r="C118" s="147" t="e">
        <f>VLOOKUP(A118,'Product Cost - Price'!$D$5:$U$252,17,FALSE)</f>
        <v>#N/A</v>
      </c>
      <c r="D118" s="143">
        <v>55</v>
      </c>
      <c r="E118" s="143">
        <v>0</v>
      </c>
      <c r="F118" s="143" t="s">
        <v>23</v>
      </c>
      <c r="G118" s="143"/>
      <c r="H118" s="143">
        <v>33.299999999999997</v>
      </c>
      <c r="I118" s="143">
        <v>33</v>
      </c>
      <c r="J118" s="143"/>
      <c r="K118" s="147" t="str">
        <f t="shared" si="2"/>
        <v>n/a</v>
      </c>
      <c r="L118" s="147" t="str">
        <f t="shared" si="3"/>
        <v>n/a</v>
      </c>
      <c r="M118" s="143" t="s">
        <v>786</v>
      </c>
      <c r="N118" s="143"/>
      <c r="O118" s="143"/>
      <c r="P118" s="143"/>
      <c r="Q118" s="143"/>
      <c r="R118" s="143"/>
      <c r="S118" s="143"/>
      <c r="T118" s="143"/>
      <c r="U118" s="143"/>
    </row>
    <row r="119" spans="1:21" x14ac:dyDescent="0.3">
      <c r="A119" s="143" t="s">
        <v>252</v>
      </c>
      <c r="B119" s="147" t="e">
        <f>VLOOKUP(A119,'Product Cost - Price'!$D$5:$U$252,18,FALSE)</f>
        <v>#N/A</v>
      </c>
      <c r="C119" s="147" t="e">
        <f>VLOOKUP(A119,'Product Cost - Price'!$D$5:$U$252,17,FALSE)</f>
        <v>#N/A</v>
      </c>
      <c r="D119" s="143">
        <v>11.1</v>
      </c>
      <c r="E119" s="143">
        <v>0</v>
      </c>
      <c r="F119" s="143" t="s">
        <v>23</v>
      </c>
      <c r="G119" s="143"/>
      <c r="H119" s="143">
        <v>0.59</v>
      </c>
      <c r="I119" s="143">
        <v>0.55000000000000004</v>
      </c>
      <c r="J119" s="143"/>
      <c r="K119" s="147" t="str">
        <f t="shared" si="2"/>
        <v>n/a</v>
      </c>
      <c r="L119" s="147" t="str">
        <f t="shared" si="3"/>
        <v>n/a</v>
      </c>
      <c r="M119" s="143" t="s">
        <v>786</v>
      </c>
      <c r="N119" s="143"/>
      <c r="O119" s="143"/>
      <c r="P119" s="143"/>
      <c r="Q119" s="143"/>
      <c r="R119" s="143"/>
      <c r="S119" s="143"/>
      <c r="T119" s="143"/>
      <c r="U119" s="143"/>
    </row>
    <row r="120" spans="1:21" x14ac:dyDescent="0.3">
      <c r="A120" s="143" t="s">
        <v>363</v>
      </c>
      <c r="B120" s="147" t="e">
        <f>VLOOKUP(A120,'Product Cost - Price'!$D$5:$U$252,18,FALSE)</f>
        <v>#N/A</v>
      </c>
      <c r="C120" s="147">
        <v>0</v>
      </c>
      <c r="D120" s="145">
        <v>0</v>
      </c>
      <c r="E120" s="145">
        <v>0</v>
      </c>
      <c r="F120" s="143" t="s">
        <v>23</v>
      </c>
      <c r="G120" s="143"/>
      <c r="H120" s="143">
        <v>47.91</v>
      </c>
      <c r="I120" s="143">
        <v>7.3999999999999996E-2</v>
      </c>
      <c r="J120" s="143"/>
      <c r="K120" s="150" t="str">
        <f t="shared" si="2"/>
        <v>n/a</v>
      </c>
      <c r="L120" s="150">
        <f t="shared" si="3"/>
        <v>-7.3999999999999996E-2</v>
      </c>
      <c r="M120" s="143" t="s">
        <v>786</v>
      </c>
      <c r="N120" s="143"/>
      <c r="O120" s="143"/>
      <c r="P120" s="143"/>
      <c r="Q120" s="143"/>
      <c r="R120" s="144"/>
      <c r="S120" s="145"/>
      <c r="T120" s="145"/>
      <c r="U120" s="143"/>
    </row>
    <row r="121" spans="1:21" x14ac:dyDescent="0.3">
      <c r="A121" s="143" t="s">
        <v>344</v>
      </c>
      <c r="B121" s="147" t="e">
        <f>VLOOKUP(A121,'Product Cost - Price'!$D$5:$U$252,18,FALSE)</f>
        <v>#N/A</v>
      </c>
      <c r="C121" s="147">
        <v>0</v>
      </c>
      <c r="D121" s="145">
        <v>0</v>
      </c>
      <c r="E121" s="145">
        <v>0</v>
      </c>
      <c r="F121" s="143" t="s">
        <v>23</v>
      </c>
      <c r="G121" s="143"/>
      <c r="H121" s="143">
        <v>1.6</v>
      </c>
      <c r="I121" s="143">
        <v>7.3999999999999996E-2</v>
      </c>
      <c r="J121" s="143"/>
      <c r="K121" s="150" t="str">
        <f t="shared" si="2"/>
        <v>n/a</v>
      </c>
      <c r="L121" s="150">
        <f t="shared" si="3"/>
        <v>-7.3999999999999996E-2</v>
      </c>
      <c r="M121" s="143" t="s">
        <v>786</v>
      </c>
      <c r="N121" s="143"/>
      <c r="O121" s="143"/>
      <c r="P121" s="143"/>
      <c r="Q121" s="143"/>
      <c r="R121" s="144"/>
      <c r="S121" s="145"/>
      <c r="T121" s="145"/>
      <c r="U121" s="143"/>
    </row>
    <row r="122" spans="1:21" x14ac:dyDescent="0.3">
      <c r="A122" s="143" t="s">
        <v>356</v>
      </c>
      <c r="B122" s="147" t="e">
        <f>VLOOKUP(A122,'Product Cost - Price'!$D$5:$U$252,18,FALSE)</f>
        <v>#N/A</v>
      </c>
      <c r="C122" s="147">
        <v>0</v>
      </c>
      <c r="D122" s="145">
        <v>0</v>
      </c>
      <c r="E122" s="145">
        <v>0</v>
      </c>
      <c r="F122" s="143" t="s">
        <v>23</v>
      </c>
      <c r="G122" s="143"/>
      <c r="H122" s="143">
        <v>1.69</v>
      </c>
      <c r="I122" s="143">
        <v>7.3999999999999996E-2</v>
      </c>
      <c r="J122" s="143"/>
      <c r="K122" s="150" t="str">
        <f t="shared" si="2"/>
        <v>n/a</v>
      </c>
      <c r="L122" s="150">
        <f t="shared" si="3"/>
        <v>-7.3999999999999996E-2</v>
      </c>
      <c r="M122" s="143" t="s">
        <v>786</v>
      </c>
      <c r="N122" s="143"/>
      <c r="O122" s="143"/>
      <c r="P122" s="143"/>
      <c r="Q122" s="143"/>
      <c r="R122" s="144"/>
      <c r="S122" s="145"/>
      <c r="T122" s="145"/>
      <c r="U122" s="143"/>
    </row>
    <row r="123" spans="1:21" x14ac:dyDescent="0.3">
      <c r="A123" s="143" t="s">
        <v>87</v>
      </c>
      <c r="B123" s="147" t="e">
        <f>VLOOKUP(A123,'Product Cost - Price'!$D$5:$U$252,18,FALSE)</f>
        <v>#N/A</v>
      </c>
      <c r="C123" s="147" t="e">
        <f>VLOOKUP(A123,'Product Cost - Price'!$D$5:$U$252,17,FALSE)</f>
        <v>#N/A</v>
      </c>
      <c r="D123" s="143">
        <v>2.5099999999999998</v>
      </c>
      <c r="E123" s="143">
        <v>0</v>
      </c>
      <c r="F123" s="143" t="s">
        <v>23</v>
      </c>
      <c r="G123" s="143"/>
      <c r="H123" s="143">
        <v>1.68</v>
      </c>
      <c r="I123" s="143">
        <v>1.56</v>
      </c>
      <c r="J123" s="143"/>
      <c r="K123" s="147" t="str">
        <f t="shared" si="2"/>
        <v>n/a</v>
      </c>
      <c r="L123" s="147" t="str">
        <f t="shared" si="3"/>
        <v>n/a</v>
      </c>
      <c r="M123" s="143" t="s">
        <v>786</v>
      </c>
      <c r="N123" s="143"/>
      <c r="O123" s="143"/>
      <c r="P123" s="143"/>
      <c r="Q123" s="143"/>
      <c r="R123" s="143"/>
      <c r="S123" s="143"/>
      <c r="T123" s="143"/>
      <c r="U123" s="143"/>
    </row>
    <row r="124" spans="1:21" x14ac:dyDescent="0.3">
      <c r="A124" s="143" t="s">
        <v>311</v>
      </c>
      <c r="B124" s="147" t="e">
        <f>VLOOKUP(A124,'Product Cost - Price'!$D$5:$U$252,18,FALSE)</f>
        <v>#N/A</v>
      </c>
      <c r="C124" s="147" t="e">
        <f>VLOOKUP(A124,'Product Cost - Price'!$D$5:$U$252,17,FALSE)</f>
        <v>#N/A</v>
      </c>
      <c r="D124" s="143">
        <v>4.67</v>
      </c>
      <c r="E124" s="143">
        <v>0</v>
      </c>
      <c r="F124" s="143" t="s">
        <v>23</v>
      </c>
      <c r="G124" s="143"/>
      <c r="H124" s="143">
        <v>2.17</v>
      </c>
      <c r="I124" s="143">
        <v>2.0299999999999998</v>
      </c>
      <c r="J124" s="143"/>
      <c r="K124" s="147" t="str">
        <f t="shared" si="2"/>
        <v>n/a</v>
      </c>
      <c r="L124" s="147" t="str">
        <f t="shared" si="3"/>
        <v>n/a</v>
      </c>
      <c r="M124" s="143" t="s">
        <v>786</v>
      </c>
      <c r="N124" s="143"/>
      <c r="O124" s="143"/>
      <c r="P124" s="143"/>
      <c r="Q124" s="143"/>
      <c r="R124" s="143"/>
      <c r="S124" s="143"/>
      <c r="T124" s="143"/>
      <c r="U124" s="143"/>
    </row>
    <row r="125" spans="1:21" x14ac:dyDescent="0.3">
      <c r="A125" s="143" t="s">
        <v>128</v>
      </c>
      <c r="B125" s="147">
        <f>VLOOKUP(A125,'Product Cost - Price'!$D$5:$U$252,18,FALSE)</f>
        <v>16.8</v>
      </c>
      <c r="C125" s="147">
        <f>VLOOKUP(A125,'Product Cost - Price'!$D$5:$U$252,17,FALSE)</f>
        <v>15.59369918699187</v>
      </c>
      <c r="D125" s="143">
        <v>0</v>
      </c>
      <c r="E125" s="143">
        <v>0</v>
      </c>
      <c r="F125" s="143" t="s">
        <v>23</v>
      </c>
      <c r="G125" s="143"/>
      <c r="H125" s="143">
        <v>15</v>
      </c>
      <c r="I125" s="143">
        <v>13.97</v>
      </c>
      <c r="J125" s="143"/>
      <c r="K125" s="147">
        <f t="shared" si="2"/>
        <v>1.8000000000000007</v>
      </c>
      <c r="L125" s="147">
        <f t="shared" si="3"/>
        <v>1.6236991869918693</v>
      </c>
      <c r="M125" s="143" t="s">
        <v>786</v>
      </c>
      <c r="N125" s="143"/>
      <c r="O125" s="143"/>
      <c r="P125" s="143"/>
      <c r="Q125" s="143"/>
      <c r="R125" s="143"/>
      <c r="S125" s="143"/>
      <c r="T125" s="143"/>
      <c r="U125" s="143"/>
    </row>
    <row r="126" spans="1:21" x14ac:dyDescent="0.3">
      <c r="A126" s="143" t="s">
        <v>177</v>
      </c>
      <c r="B126" s="147">
        <f>VLOOKUP(A126,'Product Cost - Price'!$D$5:$U$252,18,FALSE)</f>
        <v>22.400000000000002</v>
      </c>
      <c r="C126" s="147">
        <f>VLOOKUP(A126,'Product Cost - Price'!$D$5:$U$252,17,FALSE)</f>
        <v>19.92951199338296</v>
      </c>
      <c r="D126" s="143">
        <v>32.75</v>
      </c>
      <c r="E126" s="143">
        <v>0</v>
      </c>
      <c r="F126" s="143" t="s">
        <v>23</v>
      </c>
      <c r="G126" s="143"/>
      <c r="H126" s="143">
        <v>20.3</v>
      </c>
      <c r="I126" s="143">
        <v>17.989999999999998</v>
      </c>
      <c r="J126" s="143"/>
      <c r="K126" s="147">
        <f t="shared" si="2"/>
        <v>2.1000000000000014</v>
      </c>
      <c r="L126" s="147">
        <f t="shared" si="3"/>
        <v>1.9395119933829612</v>
      </c>
      <c r="M126" s="143" t="s">
        <v>786</v>
      </c>
      <c r="N126" s="143"/>
      <c r="O126" s="143"/>
      <c r="P126" s="143"/>
      <c r="Q126" s="143"/>
      <c r="R126" s="143"/>
      <c r="S126" s="143"/>
      <c r="T126" s="143"/>
      <c r="U126" s="143"/>
    </row>
    <row r="127" spans="1:21" x14ac:dyDescent="0.3">
      <c r="A127" s="143" t="s">
        <v>195</v>
      </c>
      <c r="B127" s="147" t="e">
        <f>VLOOKUP(A127,'Product Cost - Price'!$D$5:$U$252,18,FALSE)</f>
        <v>#N/A</v>
      </c>
      <c r="C127" s="147" t="e">
        <f>VLOOKUP(A127,'Product Cost - Price'!$D$5:$U$252,17,FALSE)</f>
        <v>#N/A</v>
      </c>
      <c r="D127" s="143">
        <v>23.5</v>
      </c>
      <c r="E127" s="143">
        <v>0</v>
      </c>
      <c r="F127" s="143" t="s">
        <v>23</v>
      </c>
      <c r="G127" s="143"/>
      <c r="H127" s="143">
        <v>14.4</v>
      </c>
      <c r="I127" s="143">
        <v>13</v>
      </c>
      <c r="J127" s="143"/>
      <c r="K127" s="147" t="str">
        <f t="shared" si="2"/>
        <v>n/a</v>
      </c>
      <c r="L127" s="147" t="str">
        <f t="shared" si="3"/>
        <v>n/a</v>
      </c>
      <c r="M127" s="143" t="s">
        <v>786</v>
      </c>
      <c r="N127" s="143"/>
      <c r="O127" s="143"/>
      <c r="P127" s="143"/>
      <c r="Q127" s="143"/>
      <c r="R127" s="143"/>
      <c r="S127" s="143"/>
      <c r="T127" s="143"/>
      <c r="U127" s="143"/>
    </row>
    <row r="128" spans="1:21" x14ac:dyDescent="0.3">
      <c r="A128" s="143" t="s">
        <v>237</v>
      </c>
      <c r="B128" s="147">
        <f>VLOOKUP(A128,'Product Cost - Price'!$D$5:$U$252,18,FALSE)</f>
        <v>25.700000000000003</v>
      </c>
      <c r="C128" s="147">
        <f>VLOOKUP(A128,'Product Cost - Price'!$D$5:$U$252,17,FALSE)</f>
        <v>22.876378494623658</v>
      </c>
      <c r="D128" s="143">
        <v>37</v>
      </c>
      <c r="E128" s="143">
        <v>0</v>
      </c>
      <c r="F128" s="143" t="s">
        <v>23</v>
      </c>
      <c r="G128" s="143"/>
      <c r="H128" s="143">
        <v>23.6</v>
      </c>
      <c r="I128" s="143">
        <v>20.97</v>
      </c>
      <c r="J128" s="143"/>
      <c r="K128" s="147">
        <f t="shared" si="2"/>
        <v>2.1000000000000014</v>
      </c>
      <c r="L128" s="147">
        <f t="shared" si="3"/>
        <v>1.9063784946236595</v>
      </c>
      <c r="M128" s="143" t="s">
        <v>786</v>
      </c>
      <c r="N128" s="143"/>
      <c r="O128" s="143"/>
      <c r="P128" s="143"/>
      <c r="Q128" s="143"/>
      <c r="R128" s="143"/>
      <c r="S128" s="143"/>
      <c r="T128" s="143"/>
      <c r="U128" s="143"/>
    </row>
    <row r="129" spans="1:21" x14ac:dyDescent="0.3">
      <c r="A129" s="143" t="s">
        <v>157</v>
      </c>
      <c r="B129" s="147">
        <f>VLOOKUP(A129,'Product Cost - Price'!$D$5:$U$252,18,FALSE)</f>
        <v>22.700000000000003</v>
      </c>
      <c r="C129" s="147">
        <f>VLOOKUP(A129,'Product Cost - Price'!$D$5:$U$252,17,FALSE)</f>
        <v>21.110772357723576</v>
      </c>
      <c r="D129" s="143">
        <v>48</v>
      </c>
      <c r="E129" s="143">
        <v>0</v>
      </c>
      <c r="F129" s="143" t="s">
        <v>23</v>
      </c>
      <c r="G129" s="143"/>
      <c r="H129" s="143">
        <v>20.9</v>
      </c>
      <c r="I129" s="143">
        <v>19.489999999999998</v>
      </c>
      <c r="J129" s="143"/>
      <c r="K129" s="147">
        <f t="shared" si="2"/>
        <v>1.8000000000000043</v>
      </c>
      <c r="L129" s="147">
        <f t="shared" si="3"/>
        <v>1.6207723577235775</v>
      </c>
      <c r="M129" s="143" t="s">
        <v>786</v>
      </c>
      <c r="N129" s="143"/>
      <c r="O129" s="143"/>
      <c r="P129" s="143"/>
      <c r="Q129" s="143"/>
      <c r="R129" s="143"/>
      <c r="S129" s="143"/>
      <c r="T129" s="143"/>
      <c r="U129" s="143"/>
    </row>
    <row r="130" spans="1:21" x14ac:dyDescent="0.3">
      <c r="A130" s="143" t="s">
        <v>263</v>
      </c>
      <c r="B130" s="147" t="e">
        <f>VLOOKUP(A130,'Product Cost - Price'!$D$5:$U$252,18,FALSE)</f>
        <v>#N/A</v>
      </c>
      <c r="C130" s="147" t="e">
        <f>VLOOKUP(A130,'Product Cost - Price'!$D$5:$U$252,17,FALSE)</f>
        <v>#N/A</v>
      </c>
      <c r="D130" s="143">
        <v>27.85</v>
      </c>
      <c r="E130" s="143">
        <v>0</v>
      </c>
      <c r="F130" s="143" t="s">
        <v>23</v>
      </c>
      <c r="G130" s="143"/>
      <c r="H130" s="143">
        <v>20.7</v>
      </c>
      <c r="I130" s="143">
        <v>19.29</v>
      </c>
      <c r="J130" s="143"/>
      <c r="K130" s="147" t="str">
        <f t="shared" si="2"/>
        <v>n/a</v>
      </c>
      <c r="L130" s="147" t="str">
        <f t="shared" si="3"/>
        <v>n/a</v>
      </c>
      <c r="M130" s="143" t="s">
        <v>786</v>
      </c>
      <c r="N130" s="143"/>
      <c r="O130" s="143"/>
      <c r="P130" s="143"/>
      <c r="Q130" s="143"/>
      <c r="R130" s="143"/>
      <c r="S130" s="143"/>
      <c r="T130" s="143"/>
      <c r="U130" s="143"/>
    </row>
    <row r="131" spans="1:21" x14ac:dyDescent="0.3">
      <c r="A131" s="143" t="s">
        <v>322</v>
      </c>
      <c r="B131" s="147" t="e">
        <f>VLOOKUP(A131,'Product Cost - Price'!$D$5:$U$252,18,FALSE)</f>
        <v>#N/A</v>
      </c>
      <c r="C131" s="147" t="e">
        <f>VLOOKUP(A131,'Product Cost - Price'!$D$5:$U$252,17,FALSE)</f>
        <v>#N/A</v>
      </c>
      <c r="D131" s="145">
        <v>0</v>
      </c>
      <c r="E131" s="145">
        <v>0</v>
      </c>
      <c r="F131" s="143" t="s">
        <v>23</v>
      </c>
      <c r="G131" s="143"/>
      <c r="H131" s="143">
        <v>0.8</v>
      </c>
      <c r="I131" s="143">
        <v>7.3999999999999996E-2</v>
      </c>
      <c r="J131" s="143"/>
      <c r="K131" s="147" t="str">
        <f t="shared" ref="K131:K194" si="4">IFERROR(B131-H131,"n/a")</f>
        <v>n/a</v>
      </c>
      <c r="L131" s="147" t="str">
        <f t="shared" ref="L131:L194" si="5">IFERROR(C131-I131,"n/a")</f>
        <v>n/a</v>
      </c>
      <c r="M131" s="143" t="s">
        <v>786</v>
      </c>
      <c r="N131" s="143"/>
      <c r="O131" s="143"/>
      <c r="P131" s="143"/>
      <c r="Q131" s="143"/>
      <c r="R131" s="143"/>
      <c r="S131" s="143"/>
      <c r="T131" s="143"/>
      <c r="U131" s="143"/>
    </row>
    <row r="132" spans="1:21" x14ac:dyDescent="0.3">
      <c r="A132" s="143" t="s">
        <v>49</v>
      </c>
      <c r="B132" s="147">
        <f>VLOOKUP(A132,'Product Cost - Price'!$D$5:$U$252,18,FALSE)</f>
        <v>23.6</v>
      </c>
      <c r="C132" s="147">
        <v>0</v>
      </c>
      <c r="D132" s="143">
        <v>0</v>
      </c>
      <c r="E132" s="143">
        <v>0</v>
      </c>
      <c r="F132" s="143" t="s">
        <v>23</v>
      </c>
      <c r="G132" s="143"/>
      <c r="H132" s="143">
        <v>21.1</v>
      </c>
      <c r="I132" s="143">
        <v>0</v>
      </c>
      <c r="J132" s="143"/>
      <c r="K132" s="147">
        <f t="shared" si="4"/>
        <v>2.5</v>
      </c>
      <c r="L132" s="147">
        <f t="shared" si="5"/>
        <v>0</v>
      </c>
      <c r="M132" s="143" t="s">
        <v>786</v>
      </c>
      <c r="N132" s="143"/>
      <c r="O132" s="143"/>
      <c r="P132" s="143"/>
      <c r="Q132" s="143"/>
      <c r="R132" s="143"/>
      <c r="S132" s="143"/>
      <c r="T132" s="143"/>
      <c r="U132" s="143"/>
    </row>
    <row r="133" spans="1:21" x14ac:dyDescent="0.3">
      <c r="A133" s="143" t="s">
        <v>281</v>
      </c>
      <c r="B133" s="147" t="e">
        <f>VLOOKUP(A133,'Product Cost - Price'!$D$5:$U$252,18,FALSE)</f>
        <v>#N/A</v>
      </c>
      <c r="C133" s="147" t="e">
        <f>VLOOKUP(A133,'Product Cost - Price'!$D$5:$U$252,17,FALSE)</f>
        <v>#N/A</v>
      </c>
      <c r="D133" s="143">
        <v>0</v>
      </c>
      <c r="E133" s="143">
        <v>0</v>
      </c>
      <c r="F133" s="143" t="s">
        <v>23</v>
      </c>
      <c r="G133" s="143"/>
      <c r="H133" s="143">
        <v>22.5</v>
      </c>
      <c r="I133" s="143">
        <v>18.899999999999999</v>
      </c>
      <c r="J133" s="143"/>
      <c r="K133" s="147" t="str">
        <f t="shared" si="4"/>
        <v>n/a</v>
      </c>
      <c r="L133" s="147" t="str">
        <f t="shared" si="5"/>
        <v>n/a</v>
      </c>
      <c r="M133" s="143" t="s">
        <v>786</v>
      </c>
      <c r="N133" s="143"/>
      <c r="O133" s="143"/>
      <c r="P133" s="143"/>
      <c r="Q133" s="143"/>
      <c r="R133" s="143"/>
      <c r="S133" s="143"/>
      <c r="T133" s="143"/>
      <c r="U133" s="143"/>
    </row>
    <row r="134" spans="1:21" x14ac:dyDescent="0.3">
      <c r="A134" s="143" t="s">
        <v>274</v>
      </c>
      <c r="B134" s="147" t="e">
        <f>VLOOKUP(A134,'Product Cost - Price'!$D$5:$U$252,18,FALSE)</f>
        <v>#N/A</v>
      </c>
      <c r="C134" s="147" t="e">
        <f>VLOOKUP(A134,'Product Cost - Price'!$D$5:$U$252,17,FALSE)</f>
        <v>#N/A</v>
      </c>
      <c r="D134" s="143">
        <v>0</v>
      </c>
      <c r="E134" s="143">
        <v>0</v>
      </c>
      <c r="F134" s="143" t="s">
        <v>23</v>
      </c>
      <c r="G134" s="143"/>
      <c r="H134" s="143">
        <v>33.5</v>
      </c>
      <c r="I134" s="143">
        <v>28.4</v>
      </c>
      <c r="J134" s="143"/>
      <c r="K134" s="147" t="str">
        <f t="shared" si="4"/>
        <v>n/a</v>
      </c>
      <c r="L134" s="147" t="str">
        <f t="shared" si="5"/>
        <v>n/a</v>
      </c>
      <c r="M134" s="143" t="s">
        <v>786</v>
      </c>
      <c r="N134" s="143"/>
      <c r="O134" s="143"/>
      <c r="P134" s="143"/>
      <c r="Q134" s="143"/>
      <c r="R134" s="143"/>
      <c r="S134" s="143"/>
      <c r="T134" s="143"/>
      <c r="U134" s="143"/>
    </row>
    <row r="135" spans="1:21" x14ac:dyDescent="0.3">
      <c r="A135" s="143" t="s">
        <v>319</v>
      </c>
      <c r="B135" s="147" t="e">
        <f>VLOOKUP(A135,'Product Cost - Price'!$D$5:$U$252,18,FALSE)</f>
        <v>#N/A</v>
      </c>
      <c r="C135" s="147" t="e">
        <f>VLOOKUP(A135,'Product Cost - Price'!$D$5:$U$252,17,FALSE)</f>
        <v>#N/A</v>
      </c>
      <c r="D135" s="143">
        <v>0</v>
      </c>
      <c r="E135" s="143">
        <v>0</v>
      </c>
      <c r="F135" s="143" t="s">
        <v>23</v>
      </c>
      <c r="G135" s="143"/>
      <c r="H135" s="143">
        <v>1.03</v>
      </c>
      <c r="I135" s="143">
        <v>0.96</v>
      </c>
      <c r="J135" s="143"/>
      <c r="K135" s="147" t="str">
        <f t="shared" si="4"/>
        <v>n/a</v>
      </c>
      <c r="L135" s="147" t="str">
        <f t="shared" si="5"/>
        <v>n/a</v>
      </c>
      <c r="M135" s="143" t="s">
        <v>786</v>
      </c>
      <c r="N135" s="143"/>
      <c r="O135" s="143"/>
      <c r="P135" s="143"/>
      <c r="Q135" s="143"/>
      <c r="R135" s="143"/>
      <c r="S135" s="143"/>
      <c r="T135" s="143"/>
      <c r="U135" s="143"/>
    </row>
    <row r="136" spans="1:21" x14ac:dyDescent="0.3">
      <c r="A136" s="143" t="s">
        <v>292</v>
      </c>
      <c r="B136" s="147" t="e">
        <f>VLOOKUP(A136,'Product Cost - Price'!$D$5:$U$252,18,FALSE)</f>
        <v>#N/A</v>
      </c>
      <c r="C136" s="147">
        <v>0</v>
      </c>
      <c r="D136" s="143">
        <v>0</v>
      </c>
      <c r="E136" s="143">
        <v>0</v>
      </c>
      <c r="F136" s="143" t="s">
        <v>23</v>
      </c>
      <c r="G136" s="143"/>
      <c r="H136" s="143">
        <v>38.5</v>
      </c>
      <c r="I136" s="143">
        <v>0</v>
      </c>
      <c r="J136" s="143"/>
      <c r="K136" s="150" t="str">
        <f t="shared" si="4"/>
        <v>n/a</v>
      </c>
      <c r="L136" s="150">
        <f t="shared" si="5"/>
        <v>0</v>
      </c>
      <c r="M136" s="143" t="s">
        <v>786</v>
      </c>
      <c r="N136" s="143"/>
      <c r="O136" s="143"/>
      <c r="P136" s="143"/>
      <c r="Q136" s="143"/>
      <c r="R136" s="143"/>
      <c r="S136" s="143"/>
      <c r="T136" s="143"/>
      <c r="U136" s="143"/>
    </row>
    <row r="137" spans="1:21" x14ac:dyDescent="0.3">
      <c r="A137" s="143" t="s">
        <v>74</v>
      </c>
      <c r="B137" s="147">
        <f>VLOOKUP(A137,'Product Cost - Price'!$D$5:$U$252,18,FALSE)</f>
        <v>18.400000000000002</v>
      </c>
      <c r="C137" s="147">
        <f>VLOOKUP(A137,'Product Cost - Price'!$D$5:$U$252,17,FALSE)</f>
        <v>15.97560975609756</v>
      </c>
      <c r="D137" s="143">
        <v>0</v>
      </c>
      <c r="E137" s="143">
        <v>0</v>
      </c>
      <c r="F137" s="143" t="s">
        <v>23</v>
      </c>
      <c r="G137" s="143"/>
      <c r="H137" s="143">
        <v>12.4</v>
      </c>
      <c r="I137" s="143">
        <v>10.35</v>
      </c>
      <c r="J137" s="143"/>
      <c r="K137" s="147">
        <f t="shared" si="4"/>
        <v>6.0000000000000018</v>
      </c>
      <c r="L137" s="147">
        <f t="shared" si="5"/>
        <v>5.6256097560975604</v>
      </c>
      <c r="M137" s="143" t="s">
        <v>786</v>
      </c>
      <c r="N137" s="143"/>
      <c r="O137" s="143"/>
      <c r="P137" s="143"/>
      <c r="Q137" s="143"/>
      <c r="R137" s="143"/>
      <c r="S137" s="143"/>
      <c r="T137" s="143"/>
      <c r="U137" s="143"/>
    </row>
    <row r="138" spans="1:21" x14ac:dyDescent="0.3">
      <c r="A138" s="143" t="s">
        <v>307</v>
      </c>
      <c r="B138" s="147" t="e">
        <f>VLOOKUP(A138,'Product Cost - Price'!$D$5:$U$252,18,FALSE)</f>
        <v>#N/A</v>
      </c>
      <c r="C138" s="147" t="e">
        <f>VLOOKUP(A138,'Product Cost - Price'!$D$5:$U$252,17,FALSE)</f>
        <v>#N/A</v>
      </c>
      <c r="D138" s="143">
        <v>0</v>
      </c>
      <c r="E138" s="143">
        <v>0</v>
      </c>
      <c r="F138" s="143" t="s">
        <v>23</v>
      </c>
      <c r="G138" s="143"/>
      <c r="H138" s="143">
        <v>41</v>
      </c>
      <c r="I138" s="143">
        <v>32.35</v>
      </c>
      <c r="J138" s="143"/>
      <c r="K138" s="147" t="str">
        <f t="shared" si="4"/>
        <v>n/a</v>
      </c>
      <c r="L138" s="147" t="str">
        <f t="shared" si="5"/>
        <v>n/a</v>
      </c>
      <c r="M138" s="143" t="s">
        <v>786</v>
      </c>
      <c r="N138" s="143"/>
      <c r="O138" s="143"/>
      <c r="P138" s="143"/>
      <c r="Q138" s="143"/>
      <c r="R138" s="143"/>
      <c r="S138" s="143"/>
      <c r="T138" s="143"/>
      <c r="U138" s="143"/>
    </row>
    <row r="139" spans="1:21" x14ac:dyDescent="0.3">
      <c r="A139" s="143" t="s">
        <v>197</v>
      </c>
      <c r="B139" s="147">
        <f>VLOOKUP(A139,'Product Cost - Price'!$D$5:$U$252,18,FALSE)</f>
        <v>30</v>
      </c>
      <c r="C139" s="147">
        <v>0</v>
      </c>
      <c r="D139" s="143">
        <v>0</v>
      </c>
      <c r="E139" s="143">
        <v>0</v>
      </c>
      <c r="F139" s="143" t="s">
        <v>23</v>
      </c>
      <c r="G139" s="143"/>
      <c r="H139" s="143">
        <v>27.4</v>
      </c>
      <c r="I139" s="143">
        <v>0</v>
      </c>
      <c r="J139" s="143"/>
      <c r="K139" s="147">
        <f t="shared" si="4"/>
        <v>2.6000000000000014</v>
      </c>
      <c r="L139" s="147">
        <f t="shared" si="5"/>
        <v>0</v>
      </c>
      <c r="M139" s="143" t="s">
        <v>786</v>
      </c>
      <c r="N139" s="143"/>
      <c r="O139" s="143"/>
      <c r="P139" s="143"/>
      <c r="Q139" s="143"/>
      <c r="R139" s="143"/>
      <c r="S139" s="143"/>
      <c r="T139" s="143"/>
      <c r="U139" s="143"/>
    </row>
    <row r="140" spans="1:21" x14ac:dyDescent="0.3">
      <c r="A140" s="143" t="s">
        <v>279</v>
      </c>
      <c r="B140" s="147" t="e">
        <f>VLOOKUP(A140,'Product Cost - Price'!$D$5:$U$252,18,FALSE)</f>
        <v>#N/A</v>
      </c>
      <c r="C140" s="147" t="e">
        <f>VLOOKUP(A140,'Product Cost - Price'!$D$5:$U$252,17,FALSE)</f>
        <v>#N/A</v>
      </c>
      <c r="D140" s="143">
        <v>0</v>
      </c>
      <c r="E140" s="143">
        <v>0</v>
      </c>
      <c r="F140" s="143" t="s">
        <v>23</v>
      </c>
      <c r="G140" s="143"/>
      <c r="H140" s="143">
        <v>29.5</v>
      </c>
      <c r="I140" s="143">
        <v>25.5</v>
      </c>
      <c r="J140" s="143"/>
      <c r="K140" s="147" t="str">
        <f t="shared" si="4"/>
        <v>n/a</v>
      </c>
      <c r="L140" s="147" t="str">
        <f t="shared" si="5"/>
        <v>n/a</v>
      </c>
      <c r="M140" s="143" t="s">
        <v>786</v>
      </c>
      <c r="N140" s="143"/>
      <c r="O140" s="143"/>
      <c r="P140" s="143"/>
      <c r="Q140" s="143"/>
      <c r="R140" s="143"/>
      <c r="S140" s="143"/>
      <c r="T140" s="143"/>
      <c r="U140" s="143"/>
    </row>
    <row r="141" spans="1:21" x14ac:dyDescent="0.3">
      <c r="A141" s="143" t="s">
        <v>291</v>
      </c>
      <c r="B141" s="147">
        <f>VLOOKUP(A141,'Product Cost - Price'!$D$5:$U$252,18,FALSE)</f>
        <v>44</v>
      </c>
      <c r="C141" s="147">
        <v>0</v>
      </c>
      <c r="D141" s="143">
        <v>0</v>
      </c>
      <c r="E141" s="143">
        <v>0</v>
      </c>
      <c r="F141" s="143" t="s">
        <v>23</v>
      </c>
      <c r="G141" s="143"/>
      <c r="H141" s="143">
        <v>41.7</v>
      </c>
      <c r="I141" s="143">
        <v>0</v>
      </c>
      <c r="J141" s="143"/>
      <c r="K141" s="150">
        <f t="shared" si="4"/>
        <v>2.2999999999999972</v>
      </c>
      <c r="L141" s="150">
        <f t="shared" si="5"/>
        <v>0</v>
      </c>
      <c r="M141" s="143" t="s">
        <v>786</v>
      </c>
      <c r="N141" s="143"/>
      <c r="O141" s="143"/>
      <c r="P141" s="143"/>
      <c r="Q141" s="143"/>
      <c r="R141" s="143"/>
      <c r="S141" s="143"/>
      <c r="T141" s="143"/>
      <c r="U141" s="143"/>
    </row>
    <row r="142" spans="1:21" x14ac:dyDescent="0.3">
      <c r="A142" s="143" t="s">
        <v>169</v>
      </c>
      <c r="B142" s="147">
        <f>VLOOKUP(A142,'Product Cost - Price'!$D$5:$U$252,18,FALSE)</f>
        <v>70.3</v>
      </c>
      <c r="C142" s="147">
        <f>VLOOKUP(A142,'Product Cost - Price'!$D$5:$U$252,17,FALSE)</f>
        <v>65.574186991869908</v>
      </c>
      <c r="D142" s="143">
        <v>85</v>
      </c>
      <c r="E142" s="143">
        <v>0</v>
      </c>
      <c r="F142" s="143" t="s">
        <v>23</v>
      </c>
      <c r="G142" s="143"/>
      <c r="H142" s="143">
        <v>68</v>
      </c>
      <c r="I142" s="143">
        <v>63.37</v>
      </c>
      <c r="J142" s="143"/>
      <c r="K142" s="147">
        <f t="shared" si="4"/>
        <v>2.2999999999999972</v>
      </c>
      <c r="L142" s="147">
        <f t="shared" si="5"/>
        <v>2.2041869918699106</v>
      </c>
      <c r="M142" s="143" t="s">
        <v>786</v>
      </c>
      <c r="N142" s="143"/>
      <c r="O142" s="143"/>
      <c r="P142" s="143"/>
      <c r="Q142" s="143"/>
      <c r="R142" s="143"/>
      <c r="S142" s="143"/>
      <c r="T142" s="143"/>
      <c r="U142" s="143"/>
    </row>
    <row r="143" spans="1:21" x14ac:dyDescent="0.3">
      <c r="A143" s="143" t="s">
        <v>146</v>
      </c>
      <c r="B143" s="147">
        <f>VLOOKUP(A143,'Product Cost - Price'!$D$5:$U$252,18,FALSE)</f>
        <v>14.6</v>
      </c>
      <c r="C143" s="147">
        <f>VLOOKUP(A143,'Product Cost - Price'!$D$5:$U$252,17,FALSE)</f>
        <v>13.570528455284551</v>
      </c>
      <c r="D143" s="143">
        <v>22.8</v>
      </c>
      <c r="E143" s="143">
        <v>0</v>
      </c>
      <c r="F143" s="143" t="s">
        <v>23</v>
      </c>
      <c r="G143" s="143"/>
      <c r="H143" s="143">
        <v>12.4</v>
      </c>
      <c r="I143" s="143">
        <v>11.51</v>
      </c>
      <c r="J143" s="143"/>
      <c r="K143" s="147">
        <f t="shared" si="4"/>
        <v>2.1999999999999993</v>
      </c>
      <c r="L143" s="147">
        <f t="shared" si="5"/>
        <v>2.0605284552845511</v>
      </c>
      <c r="M143" s="143" t="s">
        <v>786</v>
      </c>
      <c r="N143" s="143"/>
      <c r="O143" s="143"/>
      <c r="P143" s="143"/>
      <c r="Q143" s="143"/>
      <c r="R143" s="143"/>
      <c r="S143" s="143"/>
      <c r="T143" s="143"/>
      <c r="U143" s="143"/>
    </row>
    <row r="144" spans="1:21" x14ac:dyDescent="0.3">
      <c r="A144" s="143" t="s">
        <v>290</v>
      </c>
      <c r="B144" s="147">
        <f>VLOOKUP(A144,'Product Cost - Price'!$D$5:$U$252,18,FALSE)</f>
        <v>36.700000000000003</v>
      </c>
      <c r="C144" s="147">
        <v>0</v>
      </c>
      <c r="D144" s="143">
        <v>0</v>
      </c>
      <c r="E144" s="143">
        <v>0</v>
      </c>
      <c r="F144" s="143" t="s">
        <v>23</v>
      </c>
      <c r="G144" s="143"/>
      <c r="H144" s="143">
        <v>34.4</v>
      </c>
      <c r="I144" s="143">
        <v>0</v>
      </c>
      <c r="J144" s="143"/>
      <c r="K144" s="150">
        <f t="shared" si="4"/>
        <v>2.3000000000000043</v>
      </c>
      <c r="L144" s="150">
        <f t="shared" si="5"/>
        <v>0</v>
      </c>
      <c r="M144" s="143" t="s">
        <v>786</v>
      </c>
      <c r="N144" s="143"/>
      <c r="O144" s="143"/>
      <c r="P144" s="143"/>
      <c r="Q144" s="143"/>
      <c r="R144" s="143"/>
      <c r="S144" s="143"/>
      <c r="T144" s="143"/>
      <c r="U144" s="143"/>
    </row>
    <row r="145" spans="1:21" x14ac:dyDescent="0.3">
      <c r="A145" s="143" t="s">
        <v>259</v>
      </c>
      <c r="B145" s="147" t="e">
        <f>VLOOKUP(A145,'Product Cost - Price'!$D$5:$U$252,18,FALSE)</f>
        <v>#N/A</v>
      </c>
      <c r="C145" s="147" t="e">
        <f>VLOOKUP(A145,'Product Cost - Price'!$D$5:$U$252,17,FALSE)</f>
        <v>#N/A</v>
      </c>
      <c r="D145" s="143">
        <v>2.4500000000000002</v>
      </c>
      <c r="E145" s="143">
        <v>0</v>
      </c>
      <c r="F145" s="143" t="s">
        <v>23</v>
      </c>
      <c r="G145" s="143"/>
      <c r="H145" s="143">
        <v>1.61</v>
      </c>
      <c r="I145" s="143">
        <v>1.5</v>
      </c>
      <c r="J145" s="143"/>
      <c r="K145" s="147" t="str">
        <f t="shared" si="4"/>
        <v>n/a</v>
      </c>
      <c r="L145" s="147" t="str">
        <f t="shared" si="5"/>
        <v>n/a</v>
      </c>
      <c r="M145" s="143" t="s">
        <v>786</v>
      </c>
      <c r="N145" s="143"/>
      <c r="O145" s="143"/>
      <c r="P145" s="143"/>
      <c r="Q145" s="143"/>
      <c r="R145" s="143"/>
      <c r="S145" s="143"/>
      <c r="T145" s="143"/>
      <c r="U145" s="143"/>
    </row>
    <row r="146" spans="1:21" x14ac:dyDescent="0.3">
      <c r="A146" s="143" t="s">
        <v>315</v>
      </c>
      <c r="B146" s="147" t="e">
        <f>VLOOKUP(A146,'Product Cost - Price'!$D$5:$U$252,18,FALSE)</f>
        <v>#N/A</v>
      </c>
      <c r="C146" s="147" t="e">
        <f>VLOOKUP(A146,'Product Cost - Price'!$D$5:$U$252,17,FALSE)</f>
        <v>#N/A</v>
      </c>
      <c r="D146" s="143">
        <v>23.75</v>
      </c>
      <c r="E146" s="143">
        <v>0</v>
      </c>
      <c r="F146" s="143" t="s">
        <v>23</v>
      </c>
      <c r="G146" s="143"/>
      <c r="H146" s="143">
        <v>13</v>
      </c>
      <c r="I146" s="143">
        <v>12.12</v>
      </c>
      <c r="J146" s="143"/>
      <c r="K146" s="147" t="str">
        <f t="shared" si="4"/>
        <v>n/a</v>
      </c>
      <c r="L146" s="147" t="str">
        <f t="shared" si="5"/>
        <v>n/a</v>
      </c>
      <c r="M146" s="143" t="s">
        <v>786</v>
      </c>
      <c r="N146" s="143"/>
      <c r="O146" s="143"/>
      <c r="P146" s="143"/>
      <c r="Q146" s="143"/>
      <c r="R146" s="143"/>
      <c r="S146" s="143"/>
      <c r="T146" s="143"/>
      <c r="U146" s="143"/>
    </row>
    <row r="147" spans="1:21" x14ac:dyDescent="0.3">
      <c r="A147" s="143" t="s">
        <v>306</v>
      </c>
      <c r="B147" s="147" t="e">
        <f>VLOOKUP(A147,'Product Cost - Price'!$D$5:$U$252,18,FALSE)</f>
        <v>#N/A</v>
      </c>
      <c r="C147" s="147" t="e">
        <f>VLOOKUP(A147,'Product Cost - Price'!$D$5:$U$252,17,FALSE)</f>
        <v>#N/A</v>
      </c>
      <c r="D147" s="143">
        <v>0</v>
      </c>
      <c r="E147" s="143">
        <v>0</v>
      </c>
      <c r="F147" s="143" t="s">
        <v>23</v>
      </c>
      <c r="G147" s="143"/>
      <c r="H147" s="143">
        <v>22.5</v>
      </c>
      <c r="I147" s="143">
        <v>18.95</v>
      </c>
      <c r="J147" s="143"/>
      <c r="K147" s="147" t="str">
        <f t="shared" si="4"/>
        <v>n/a</v>
      </c>
      <c r="L147" s="147" t="str">
        <f t="shared" si="5"/>
        <v>n/a</v>
      </c>
      <c r="M147" s="143" t="s">
        <v>786</v>
      </c>
      <c r="N147" s="143"/>
      <c r="O147" s="143"/>
      <c r="P147" s="143"/>
      <c r="Q147" s="143"/>
      <c r="R147" s="143"/>
      <c r="S147" s="143"/>
      <c r="T147" s="143"/>
      <c r="U147" s="143"/>
    </row>
    <row r="148" spans="1:21" x14ac:dyDescent="0.3">
      <c r="A148" s="143" t="s">
        <v>305</v>
      </c>
      <c r="B148" s="147" t="e">
        <f>VLOOKUP(A148,'Product Cost - Price'!$D$5:$U$252,18,FALSE)</f>
        <v>#N/A</v>
      </c>
      <c r="C148" s="147" t="e">
        <f>VLOOKUP(A148,'Product Cost - Price'!$D$5:$U$252,17,FALSE)</f>
        <v>#N/A</v>
      </c>
      <c r="D148" s="143">
        <v>0</v>
      </c>
      <c r="E148" s="143">
        <v>0</v>
      </c>
      <c r="F148" s="143" t="s">
        <v>23</v>
      </c>
      <c r="G148" s="143"/>
      <c r="H148" s="143">
        <v>34.200000000000003</v>
      </c>
      <c r="I148" s="143">
        <v>28.65</v>
      </c>
      <c r="J148" s="143"/>
      <c r="K148" s="147" t="str">
        <f t="shared" si="4"/>
        <v>n/a</v>
      </c>
      <c r="L148" s="147" t="str">
        <f t="shared" si="5"/>
        <v>n/a</v>
      </c>
      <c r="M148" s="143" t="s">
        <v>786</v>
      </c>
      <c r="N148" s="143"/>
      <c r="O148" s="143"/>
      <c r="P148" s="143"/>
      <c r="Q148" s="143"/>
      <c r="R148" s="143"/>
      <c r="S148" s="143"/>
      <c r="T148" s="143"/>
      <c r="U148" s="143"/>
    </row>
    <row r="149" spans="1:21" x14ac:dyDescent="0.3">
      <c r="A149" s="143" t="s">
        <v>288</v>
      </c>
      <c r="B149" s="147" t="e">
        <f>VLOOKUP(A149,'Product Cost - Price'!$D$5:$U$252,18,FALSE)</f>
        <v>#N/A</v>
      </c>
      <c r="C149" s="147">
        <v>0</v>
      </c>
      <c r="D149" s="143">
        <v>0</v>
      </c>
      <c r="E149" s="143">
        <v>0</v>
      </c>
      <c r="F149" s="143" t="s">
        <v>23</v>
      </c>
      <c r="G149" s="143"/>
      <c r="H149" s="143">
        <v>31.2</v>
      </c>
      <c r="I149" s="143">
        <v>0</v>
      </c>
      <c r="J149" s="143"/>
      <c r="K149" s="150" t="str">
        <f t="shared" si="4"/>
        <v>n/a</v>
      </c>
      <c r="L149" s="150">
        <f t="shared" si="5"/>
        <v>0</v>
      </c>
      <c r="M149" s="143" t="s">
        <v>786</v>
      </c>
      <c r="N149" s="143"/>
      <c r="O149" s="143"/>
      <c r="P149" s="143"/>
      <c r="Q149" s="143"/>
      <c r="R149" s="143"/>
      <c r="S149" s="143"/>
      <c r="T149" s="143"/>
      <c r="U149" s="143"/>
    </row>
    <row r="150" spans="1:21" x14ac:dyDescent="0.3">
      <c r="A150" s="143" t="s">
        <v>119</v>
      </c>
      <c r="B150" s="147" t="e">
        <f>VLOOKUP(A150,'Product Cost - Price'!$D$5:$U$252,18,FALSE)</f>
        <v>#N/A</v>
      </c>
      <c r="C150" s="147" t="e">
        <f>VLOOKUP(A150,'Product Cost - Price'!$D$5:$U$252,17,FALSE)</f>
        <v>#N/A</v>
      </c>
      <c r="D150" s="145">
        <v>0</v>
      </c>
      <c r="E150" s="145">
        <v>0</v>
      </c>
      <c r="F150" s="143" t="s">
        <v>23</v>
      </c>
      <c r="G150" s="143"/>
      <c r="H150" s="143">
        <v>0</v>
      </c>
      <c r="I150" s="143">
        <v>7.3999999999999996E-2</v>
      </c>
      <c r="J150" s="143"/>
      <c r="K150" s="147" t="str">
        <f t="shared" si="4"/>
        <v>n/a</v>
      </c>
      <c r="L150" s="147" t="str">
        <f t="shared" si="5"/>
        <v>n/a</v>
      </c>
      <c r="M150" s="143" t="s">
        <v>786</v>
      </c>
      <c r="N150" s="143"/>
      <c r="O150" s="143"/>
      <c r="P150" s="143"/>
      <c r="Q150" s="143"/>
      <c r="R150" s="144"/>
      <c r="S150" s="145"/>
      <c r="T150" s="145"/>
      <c r="U150" s="143"/>
    </row>
    <row r="151" spans="1:21" x14ac:dyDescent="0.3">
      <c r="A151" s="143" t="s">
        <v>64</v>
      </c>
      <c r="B151" s="147">
        <f>VLOOKUP(A151,'Product Cost - Price'!$D$5:$U$252,18,FALSE)</f>
        <v>82</v>
      </c>
      <c r="C151" s="147">
        <f>VLOOKUP(A151,'Product Cost - Price'!$D$5:$U$252,17,FALSE)</f>
        <v>76.422764227642261</v>
      </c>
      <c r="D151" s="143">
        <v>0</v>
      </c>
      <c r="E151" s="143">
        <v>0</v>
      </c>
      <c r="F151" s="143" t="s">
        <v>23</v>
      </c>
      <c r="G151" s="143"/>
      <c r="H151" s="143">
        <v>74.3</v>
      </c>
      <c r="I151" s="143">
        <v>69</v>
      </c>
      <c r="J151" s="143"/>
      <c r="K151" s="147">
        <f t="shared" si="4"/>
        <v>7.7000000000000028</v>
      </c>
      <c r="L151" s="147">
        <f t="shared" si="5"/>
        <v>7.4227642276422614</v>
      </c>
      <c r="M151" s="143" t="s">
        <v>786</v>
      </c>
      <c r="N151" s="143"/>
      <c r="O151" s="143"/>
      <c r="P151" s="143"/>
      <c r="Q151" s="143"/>
      <c r="R151" s="143"/>
      <c r="S151" s="143"/>
      <c r="T151" s="143"/>
      <c r="U151" s="143"/>
    </row>
    <row r="152" spans="1:21" x14ac:dyDescent="0.3">
      <c r="A152" s="143" t="s">
        <v>397</v>
      </c>
      <c r="B152" s="147" t="e">
        <f>VLOOKUP(A152,'Product Cost - Price'!$D$5:$U$252,18,FALSE)</f>
        <v>#N/A</v>
      </c>
      <c r="C152" s="147" t="e">
        <f>VLOOKUP(A152,'Product Cost - Price'!$D$5:$U$252,17,FALSE)</f>
        <v>#N/A</v>
      </c>
      <c r="D152" s="145">
        <v>0</v>
      </c>
      <c r="E152" s="145">
        <v>0</v>
      </c>
      <c r="F152" s="143" t="s">
        <v>23</v>
      </c>
      <c r="G152" s="143"/>
      <c r="H152" s="143">
        <v>25.2</v>
      </c>
      <c r="I152" s="143">
        <v>0</v>
      </c>
      <c r="J152" s="143"/>
      <c r="K152" s="147" t="str">
        <f t="shared" si="4"/>
        <v>n/a</v>
      </c>
      <c r="L152" s="147" t="str">
        <f t="shared" si="5"/>
        <v>n/a</v>
      </c>
      <c r="M152" s="143" t="s">
        <v>786</v>
      </c>
      <c r="N152" s="143"/>
      <c r="O152" s="143"/>
      <c r="P152" s="143"/>
      <c r="Q152" s="143"/>
      <c r="R152" s="144"/>
      <c r="S152" s="145"/>
      <c r="T152" s="145"/>
      <c r="U152" s="143"/>
    </row>
    <row r="153" spans="1:21" x14ac:dyDescent="0.3">
      <c r="A153" s="143" t="s">
        <v>345</v>
      </c>
      <c r="B153" s="147" t="e">
        <f>VLOOKUP(A153,'Product Cost - Price'!$D$5:$U$252,18,FALSE)</f>
        <v>#N/A</v>
      </c>
      <c r="C153" s="147">
        <v>0</v>
      </c>
      <c r="D153" s="145">
        <v>0</v>
      </c>
      <c r="E153" s="145">
        <v>0</v>
      </c>
      <c r="F153" s="143" t="s">
        <v>23</v>
      </c>
      <c r="G153" s="143"/>
      <c r="H153" s="143">
        <v>0</v>
      </c>
      <c r="I153" s="143">
        <v>7.3999999999999996E-2</v>
      </c>
      <c r="J153" s="143"/>
      <c r="K153" s="150" t="str">
        <f t="shared" si="4"/>
        <v>n/a</v>
      </c>
      <c r="L153" s="150">
        <f t="shared" si="5"/>
        <v>-7.3999999999999996E-2</v>
      </c>
      <c r="M153" s="143" t="s">
        <v>786</v>
      </c>
      <c r="N153" s="143"/>
      <c r="O153" s="143"/>
      <c r="P153" s="143"/>
      <c r="Q153" s="143"/>
      <c r="R153" s="144"/>
      <c r="S153" s="145"/>
      <c r="T153" s="145"/>
      <c r="U153" s="143"/>
    </row>
    <row r="154" spans="1:21" x14ac:dyDescent="0.3">
      <c r="A154" s="143" t="s">
        <v>347</v>
      </c>
      <c r="B154" s="147" t="e">
        <f>VLOOKUP(A154,'Product Cost - Price'!$D$5:$U$252,18,FALSE)</f>
        <v>#N/A</v>
      </c>
      <c r="C154" s="147">
        <v>0</v>
      </c>
      <c r="D154" s="145">
        <v>0</v>
      </c>
      <c r="E154" s="145">
        <v>0</v>
      </c>
      <c r="F154" s="143" t="s">
        <v>23</v>
      </c>
      <c r="G154" s="143"/>
      <c r="H154" s="143">
        <v>0</v>
      </c>
      <c r="I154" s="143">
        <v>7.3999999999999996E-2</v>
      </c>
      <c r="J154" s="143"/>
      <c r="K154" s="150" t="str">
        <f t="shared" si="4"/>
        <v>n/a</v>
      </c>
      <c r="L154" s="150">
        <f t="shared" si="5"/>
        <v>-7.3999999999999996E-2</v>
      </c>
      <c r="M154" s="143" t="s">
        <v>786</v>
      </c>
      <c r="N154" s="143"/>
      <c r="O154" s="143"/>
      <c r="P154" s="143"/>
      <c r="Q154" s="143"/>
      <c r="R154" s="144"/>
      <c r="S154" s="145"/>
      <c r="T154" s="145"/>
      <c r="U154" s="143"/>
    </row>
    <row r="155" spans="1:21" x14ac:dyDescent="0.3">
      <c r="A155" s="143" t="s">
        <v>115</v>
      </c>
      <c r="B155" s="147" t="e">
        <f>VLOOKUP(A155,'Product Cost - Price'!$D$5:$U$252,18,FALSE)</f>
        <v>#N/A</v>
      </c>
      <c r="C155" s="147">
        <v>0</v>
      </c>
      <c r="D155" s="145">
        <v>0</v>
      </c>
      <c r="E155" s="145">
        <v>0</v>
      </c>
      <c r="F155" s="143" t="s">
        <v>23</v>
      </c>
      <c r="G155" s="143"/>
      <c r="H155" s="143">
        <v>0</v>
      </c>
      <c r="I155" s="143">
        <v>7.3999999999999996E-2</v>
      </c>
      <c r="J155" s="143"/>
      <c r="K155" s="150" t="str">
        <f t="shared" si="4"/>
        <v>n/a</v>
      </c>
      <c r="L155" s="150">
        <f t="shared" si="5"/>
        <v>-7.3999999999999996E-2</v>
      </c>
      <c r="M155" s="143" t="s">
        <v>786</v>
      </c>
      <c r="N155" s="143"/>
      <c r="O155" s="143"/>
      <c r="P155" s="143"/>
      <c r="Q155" s="143"/>
      <c r="R155" s="144"/>
      <c r="S155" s="145"/>
      <c r="T155" s="145"/>
      <c r="U155" s="143"/>
    </row>
    <row r="156" spans="1:21" x14ac:dyDescent="0.3">
      <c r="A156" s="143" t="s">
        <v>358</v>
      </c>
      <c r="B156" s="147" t="e">
        <f>VLOOKUP(A156,'Product Cost - Price'!$D$5:$U$252,18,FALSE)</f>
        <v>#N/A</v>
      </c>
      <c r="C156" s="147">
        <v>0</v>
      </c>
      <c r="D156" s="145">
        <v>0</v>
      </c>
      <c r="E156" s="145">
        <v>0</v>
      </c>
      <c r="F156" s="143" t="s">
        <v>23</v>
      </c>
      <c r="G156" s="143"/>
      <c r="H156" s="143">
        <v>0</v>
      </c>
      <c r="I156" s="143">
        <v>7.3999999999999996E-2</v>
      </c>
      <c r="J156" s="143"/>
      <c r="K156" s="150" t="str">
        <f t="shared" si="4"/>
        <v>n/a</v>
      </c>
      <c r="L156" s="150">
        <f t="shared" si="5"/>
        <v>-7.3999999999999996E-2</v>
      </c>
      <c r="M156" s="143" t="s">
        <v>786</v>
      </c>
      <c r="N156" s="143"/>
      <c r="O156" s="143"/>
      <c r="P156" s="143"/>
      <c r="Q156" s="143"/>
      <c r="R156" s="144"/>
      <c r="S156" s="145"/>
      <c r="T156" s="145"/>
      <c r="U156" s="143"/>
    </row>
    <row r="157" spans="1:21" x14ac:dyDescent="0.3">
      <c r="A157" s="143" t="s">
        <v>328</v>
      </c>
      <c r="B157" s="147" t="e">
        <f>VLOOKUP(A157,'Product Cost - Price'!$D$5:$U$252,18,FALSE)</f>
        <v>#N/A</v>
      </c>
      <c r="C157" s="147">
        <v>0</v>
      </c>
      <c r="D157" s="145">
        <v>0</v>
      </c>
      <c r="E157" s="145">
        <v>0</v>
      </c>
      <c r="F157" s="143" t="s">
        <v>23</v>
      </c>
      <c r="G157" s="143"/>
      <c r="H157" s="143">
        <v>0</v>
      </c>
      <c r="I157" s="143">
        <v>7.3999999999999996E-2</v>
      </c>
      <c r="J157" s="143"/>
      <c r="K157" s="150" t="str">
        <f t="shared" si="4"/>
        <v>n/a</v>
      </c>
      <c r="L157" s="150">
        <f t="shared" si="5"/>
        <v>-7.3999999999999996E-2</v>
      </c>
      <c r="M157" s="143" t="s">
        <v>786</v>
      </c>
      <c r="N157" s="143"/>
      <c r="O157" s="143"/>
      <c r="P157" s="143"/>
      <c r="Q157" s="143"/>
      <c r="R157" s="143"/>
      <c r="S157" s="143"/>
      <c r="T157" s="143"/>
      <c r="U157" s="143"/>
    </row>
    <row r="158" spans="1:21" x14ac:dyDescent="0.3">
      <c r="A158" s="143" t="s">
        <v>377</v>
      </c>
      <c r="B158" s="147" t="e">
        <f>VLOOKUP(A158,'Product Cost - Price'!$D$5:$U$252,18,FALSE)</f>
        <v>#N/A</v>
      </c>
      <c r="C158" s="147">
        <v>0</v>
      </c>
      <c r="D158" s="145">
        <v>0</v>
      </c>
      <c r="E158" s="145">
        <v>0</v>
      </c>
      <c r="F158" s="143" t="s">
        <v>23</v>
      </c>
      <c r="G158" s="143"/>
      <c r="H158" s="143">
        <v>0</v>
      </c>
      <c r="I158" s="143">
        <v>7.3999999999999996E-2</v>
      </c>
      <c r="J158" s="143"/>
      <c r="K158" s="150" t="str">
        <f t="shared" si="4"/>
        <v>n/a</v>
      </c>
      <c r="L158" s="150">
        <f t="shared" si="5"/>
        <v>-7.3999999999999996E-2</v>
      </c>
      <c r="M158" s="143" t="s">
        <v>786</v>
      </c>
      <c r="N158" s="143"/>
      <c r="O158" s="143"/>
      <c r="P158" s="143"/>
      <c r="Q158" s="143"/>
      <c r="R158" s="144"/>
      <c r="S158" s="145"/>
      <c r="T158" s="145"/>
      <c r="U158" s="143"/>
    </row>
    <row r="159" spans="1:21" x14ac:dyDescent="0.3">
      <c r="A159" s="143" t="s">
        <v>346</v>
      </c>
      <c r="B159" s="147" t="e">
        <f>VLOOKUP(A159,'Product Cost - Price'!$D$5:$U$252,18,FALSE)</f>
        <v>#N/A</v>
      </c>
      <c r="C159" s="147">
        <v>0</v>
      </c>
      <c r="D159" s="145">
        <v>0</v>
      </c>
      <c r="E159" s="145">
        <v>0</v>
      </c>
      <c r="F159" s="143" t="s">
        <v>23</v>
      </c>
      <c r="G159" s="143"/>
      <c r="H159" s="143">
        <v>0</v>
      </c>
      <c r="I159" s="143">
        <v>7.3999999999999996E-2</v>
      </c>
      <c r="J159" s="143"/>
      <c r="K159" s="150" t="str">
        <f t="shared" si="4"/>
        <v>n/a</v>
      </c>
      <c r="L159" s="150">
        <f t="shared" si="5"/>
        <v>-7.3999999999999996E-2</v>
      </c>
      <c r="M159" s="143" t="s">
        <v>786</v>
      </c>
      <c r="N159" s="143"/>
      <c r="O159" s="143"/>
      <c r="P159" s="143"/>
      <c r="Q159" s="143"/>
      <c r="R159" s="144"/>
      <c r="S159" s="145"/>
      <c r="T159" s="145"/>
      <c r="U159" s="143"/>
    </row>
    <row r="160" spans="1:21" x14ac:dyDescent="0.3">
      <c r="A160" s="143" t="s">
        <v>360</v>
      </c>
      <c r="B160" s="147" t="e">
        <f>VLOOKUP(A160,'Product Cost - Price'!$D$5:$U$252,18,FALSE)</f>
        <v>#N/A</v>
      </c>
      <c r="C160" s="147">
        <v>0</v>
      </c>
      <c r="D160" s="145">
        <v>0</v>
      </c>
      <c r="E160" s="145">
        <v>0</v>
      </c>
      <c r="F160" s="143" t="s">
        <v>23</v>
      </c>
      <c r="G160" s="143"/>
      <c r="H160" s="143">
        <v>0</v>
      </c>
      <c r="I160" s="143">
        <v>7.3999999999999996E-2</v>
      </c>
      <c r="J160" s="143"/>
      <c r="K160" s="150" t="str">
        <f t="shared" si="4"/>
        <v>n/a</v>
      </c>
      <c r="L160" s="150">
        <f t="shared" si="5"/>
        <v>-7.3999999999999996E-2</v>
      </c>
      <c r="M160" s="143" t="s">
        <v>786</v>
      </c>
      <c r="N160" s="143"/>
      <c r="O160" s="143"/>
      <c r="P160" s="143"/>
      <c r="Q160" s="143"/>
      <c r="R160" s="144"/>
      <c r="S160" s="145"/>
      <c r="T160" s="145"/>
      <c r="U160" s="143"/>
    </row>
    <row r="161" spans="1:21" x14ac:dyDescent="0.3">
      <c r="A161" s="143" t="s">
        <v>272</v>
      </c>
      <c r="B161" s="147">
        <f>VLOOKUP(A161,'Product Cost - Price'!$D$5:$U$252,18,FALSE)</f>
        <v>19.700000000000003</v>
      </c>
      <c r="C161" s="147">
        <f>VLOOKUP(A161,'Product Cost - Price'!$D$5:$U$252,17,FALSE)</f>
        <v>17.450519713261645</v>
      </c>
      <c r="D161" s="143">
        <v>30</v>
      </c>
      <c r="E161" s="143">
        <v>0</v>
      </c>
      <c r="F161" s="143" t="s">
        <v>23</v>
      </c>
      <c r="G161" s="143"/>
      <c r="H161" s="143">
        <v>16</v>
      </c>
      <c r="I161" s="143">
        <v>0</v>
      </c>
      <c r="J161" s="143"/>
      <c r="K161" s="147">
        <f t="shared" si="4"/>
        <v>3.7000000000000028</v>
      </c>
      <c r="L161" s="147">
        <f t="shared" si="5"/>
        <v>17.450519713261645</v>
      </c>
      <c r="M161" s="143" t="s">
        <v>786</v>
      </c>
      <c r="N161" s="143"/>
      <c r="O161" s="143"/>
      <c r="P161" s="143"/>
      <c r="Q161" s="143"/>
      <c r="R161" s="143"/>
      <c r="S161" s="143"/>
      <c r="T161" s="143"/>
      <c r="U161" s="143"/>
    </row>
    <row r="162" spans="1:21" x14ac:dyDescent="0.3">
      <c r="A162" s="143" t="s">
        <v>354</v>
      </c>
      <c r="B162" s="147" t="e">
        <f>VLOOKUP(A162,'Product Cost - Price'!$D$5:$U$252,18,FALSE)</f>
        <v>#N/A</v>
      </c>
      <c r="C162" s="147">
        <v>0</v>
      </c>
      <c r="D162" s="145">
        <v>0</v>
      </c>
      <c r="E162" s="145">
        <v>0</v>
      </c>
      <c r="F162" s="143" t="s">
        <v>23</v>
      </c>
      <c r="G162" s="143"/>
      <c r="H162" s="143">
        <v>0</v>
      </c>
      <c r="I162" s="143">
        <v>7.3999999999999996E-2</v>
      </c>
      <c r="J162" s="143"/>
      <c r="K162" s="150" t="str">
        <f t="shared" si="4"/>
        <v>n/a</v>
      </c>
      <c r="L162" s="150">
        <f t="shared" si="5"/>
        <v>-7.3999999999999996E-2</v>
      </c>
      <c r="M162" s="143" t="s">
        <v>786</v>
      </c>
      <c r="N162" s="143"/>
      <c r="O162" s="143"/>
      <c r="P162" s="143"/>
      <c r="Q162" s="143"/>
      <c r="R162" s="144"/>
      <c r="S162" s="145"/>
      <c r="T162" s="145"/>
      <c r="U162" s="143"/>
    </row>
    <row r="163" spans="1:21" x14ac:dyDescent="0.3">
      <c r="A163" s="143" t="s">
        <v>99</v>
      </c>
      <c r="B163" s="147" t="e">
        <f>VLOOKUP(A163,'Product Cost - Price'!$D$5:$U$252,18,FALSE)</f>
        <v>#N/A</v>
      </c>
      <c r="C163" s="147">
        <v>0</v>
      </c>
      <c r="D163" s="143">
        <v>0</v>
      </c>
      <c r="E163" s="143">
        <v>0</v>
      </c>
      <c r="F163" s="143" t="s">
        <v>23</v>
      </c>
      <c r="G163" s="143"/>
      <c r="H163" s="143">
        <v>23</v>
      </c>
      <c r="I163" s="143">
        <v>0</v>
      </c>
      <c r="J163" s="143"/>
      <c r="K163" s="147" t="str">
        <f t="shared" si="4"/>
        <v>n/a</v>
      </c>
      <c r="L163" s="147">
        <f t="shared" si="5"/>
        <v>0</v>
      </c>
      <c r="M163" s="143" t="s">
        <v>786</v>
      </c>
      <c r="N163" s="146"/>
      <c r="O163" s="146"/>
      <c r="P163" s="143"/>
      <c r="Q163" s="143"/>
      <c r="R163" s="143"/>
      <c r="S163" s="143"/>
      <c r="T163" s="143"/>
      <c r="U163" s="143"/>
    </row>
    <row r="164" spans="1:21" x14ac:dyDescent="0.3">
      <c r="A164" s="143" t="s">
        <v>338</v>
      </c>
      <c r="B164" s="147" t="e">
        <f>VLOOKUP(A164,'Product Cost - Price'!$D$5:$U$252,18,FALSE)</f>
        <v>#N/A</v>
      </c>
      <c r="C164" s="147">
        <v>0</v>
      </c>
      <c r="D164" s="145">
        <v>0</v>
      </c>
      <c r="E164" s="145">
        <v>0</v>
      </c>
      <c r="F164" s="143" t="s">
        <v>23</v>
      </c>
      <c r="G164" s="143"/>
      <c r="H164" s="143">
        <v>0</v>
      </c>
      <c r="I164" s="143">
        <v>7.3999999999999996E-2</v>
      </c>
      <c r="J164" s="143"/>
      <c r="K164" s="150" t="str">
        <f t="shared" si="4"/>
        <v>n/a</v>
      </c>
      <c r="L164" s="150">
        <f t="shared" si="5"/>
        <v>-7.3999999999999996E-2</v>
      </c>
      <c r="M164" s="143" t="s">
        <v>786</v>
      </c>
      <c r="N164" s="143"/>
      <c r="O164" s="143"/>
      <c r="P164" s="143"/>
      <c r="Q164" s="143"/>
      <c r="R164" s="143"/>
      <c r="S164" s="143"/>
      <c r="T164" s="143"/>
      <c r="U164" s="143"/>
    </row>
    <row r="165" spans="1:21" x14ac:dyDescent="0.3">
      <c r="A165" s="143" t="s">
        <v>396</v>
      </c>
      <c r="B165" s="147" t="e">
        <f>VLOOKUP(A165,'Product Cost - Price'!$D$5:$U$252,18,FALSE)</f>
        <v>#N/A</v>
      </c>
      <c r="C165" s="147" t="e">
        <f>VLOOKUP(A165,'Product Cost - Price'!$D$5:$U$252,17,FALSE)</f>
        <v>#N/A</v>
      </c>
      <c r="D165" s="145">
        <v>0</v>
      </c>
      <c r="E165" s="145">
        <v>0</v>
      </c>
      <c r="F165" s="143" t="s">
        <v>23</v>
      </c>
      <c r="G165" s="143"/>
      <c r="H165" s="143">
        <v>17.8</v>
      </c>
      <c r="I165" s="143">
        <v>0</v>
      </c>
      <c r="J165" s="143"/>
      <c r="K165" s="147" t="str">
        <f t="shared" si="4"/>
        <v>n/a</v>
      </c>
      <c r="L165" s="147" t="str">
        <f t="shared" si="5"/>
        <v>n/a</v>
      </c>
      <c r="M165" s="143" t="s">
        <v>786</v>
      </c>
      <c r="N165" s="143"/>
      <c r="O165" s="143"/>
      <c r="P165" s="143"/>
      <c r="Q165" s="143"/>
      <c r="R165" s="144"/>
      <c r="S165" s="145"/>
      <c r="T165" s="145"/>
      <c r="U165" s="143"/>
    </row>
    <row r="166" spans="1:21" x14ac:dyDescent="0.3">
      <c r="A166" s="143" t="s">
        <v>372</v>
      </c>
      <c r="B166" s="147" t="e">
        <f>VLOOKUP(A166,'Product Cost - Price'!$D$5:$U$252,18,FALSE)</f>
        <v>#N/A</v>
      </c>
      <c r="C166" s="147">
        <v>0</v>
      </c>
      <c r="D166" s="145">
        <v>0</v>
      </c>
      <c r="E166" s="145">
        <v>0</v>
      </c>
      <c r="F166" s="143" t="s">
        <v>23</v>
      </c>
      <c r="G166" s="143"/>
      <c r="H166" s="143">
        <v>0</v>
      </c>
      <c r="I166" s="143">
        <v>7.3999999999999996E-2</v>
      </c>
      <c r="J166" s="143"/>
      <c r="K166" s="150" t="str">
        <f t="shared" si="4"/>
        <v>n/a</v>
      </c>
      <c r="L166" s="150">
        <f t="shared" si="5"/>
        <v>-7.3999999999999996E-2</v>
      </c>
      <c r="M166" s="143" t="s">
        <v>786</v>
      </c>
      <c r="N166" s="143"/>
      <c r="O166" s="143"/>
      <c r="P166" s="143"/>
      <c r="Q166" s="143"/>
      <c r="R166" s="144"/>
      <c r="S166" s="145"/>
      <c r="T166" s="145"/>
      <c r="U166" s="143"/>
    </row>
    <row r="167" spans="1:21" x14ac:dyDescent="0.3">
      <c r="A167" s="143" t="s">
        <v>247</v>
      </c>
      <c r="B167" s="147">
        <f>VLOOKUP(A167,'Product Cost - Price'!$D$5:$U$252,18,FALSE)</f>
        <v>29</v>
      </c>
      <c r="C167" s="147">
        <f>VLOOKUP(A167,'Product Cost - Price'!$D$5:$U$252,17,FALSE)</f>
        <v>27.001016260162604</v>
      </c>
      <c r="D167" s="143">
        <v>31.6</v>
      </c>
      <c r="E167" s="143">
        <v>0</v>
      </c>
      <c r="F167" s="143" t="s">
        <v>23</v>
      </c>
      <c r="G167" s="143"/>
      <c r="H167" s="143">
        <v>25.7</v>
      </c>
      <c r="I167" s="143">
        <v>23.91</v>
      </c>
      <c r="J167" s="143"/>
      <c r="K167" s="147">
        <f t="shared" si="4"/>
        <v>3.3000000000000007</v>
      </c>
      <c r="L167" s="147">
        <f t="shared" si="5"/>
        <v>3.0910162601626041</v>
      </c>
      <c r="M167" s="143" t="s">
        <v>786</v>
      </c>
      <c r="N167" s="143"/>
      <c r="O167" s="143"/>
      <c r="P167" s="143"/>
      <c r="Q167" s="143"/>
      <c r="R167" s="143"/>
      <c r="S167" s="143"/>
      <c r="T167" s="143"/>
      <c r="U167" s="143"/>
    </row>
    <row r="168" spans="1:21" x14ac:dyDescent="0.3">
      <c r="A168" s="143" t="s">
        <v>364</v>
      </c>
      <c r="B168" s="147" t="e">
        <f>VLOOKUP(A168,'Product Cost - Price'!$D$5:$U$252,18,FALSE)</f>
        <v>#N/A</v>
      </c>
      <c r="C168" s="147">
        <v>0</v>
      </c>
      <c r="D168" s="145">
        <v>0</v>
      </c>
      <c r="E168" s="145">
        <v>0</v>
      </c>
      <c r="F168" s="143" t="s">
        <v>23</v>
      </c>
      <c r="G168" s="143"/>
      <c r="H168" s="143">
        <v>0</v>
      </c>
      <c r="I168" s="143">
        <v>7.3999999999999996E-2</v>
      </c>
      <c r="J168" s="143"/>
      <c r="K168" s="150" t="str">
        <f t="shared" si="4"/>
        <v>n/a</v>
      </c>
      <c r="L168" s="150">
        <f t="shared" si="5"/>
        <v>-7.3999999999999996E-2</v>
      </c>
      <c r="M168" s="143" t="s">
        <v>786</v>
      </c>
      <c r="N168" s="143"/>
      <c r="O168" s="143"/>
      <c r="P168" s="143"/>
      <c r="Q168" s="143"/>
      <c r="R168" s="144"/>
      <c r="S168" s="145"/>
      <c r="T168" s="145"/>
      <c r="U168" s="143"/>
    </row>
    <row r="169" spans="1:21" x14ac:dyDescent="0.3">
      <c r="A169" s="143" t="s">
        <v>321</v>
      </c>
      <c r="B169" s="147" t="e">
        <f>VLOOKUP(A169,'Product Cost - Price'!$D$5:$U$252,18,FALSE)</f>
        <v>#N/A</v>
      </c>
      <c r="C169" s="147" t="e">
        <f>VLOOKUP(A169,'Product Cost - Price'!$D$5:$U$252,17,FALSE)</f>
        <v>#N/A</v>
      </c>
      <c r="D169" s="143">
        <v>0</v>
      </c>
      <c r="E169" s="143">
        <v>0</v>
      </c>
      <c r="F169" s="143" t="s">
        <v>23</v>
      </c>
      <c r="G169" s="143"/>
      <c r="H169" s="143">
        <v>39.85</v>
      </c>
      <c r="I169" s="143">
        <v>0</v>
      </c>
      <c r="J169" s="143"/>
      <c r="K169" s="147" t="str">
        <f t="shared" si="4"/>
        <v>n/a</v>
      </c>
      <c r="L169" s="147" t="str">
        <f t="shared" si="5"/>
        <v>n/a</v>
      </c>
      <c r="M169" s="143" t="s">
        <v>786</v>
      </c>
      <c r="N169" s="143"/>
      <c r="O169" s="143"/>
      <c r="P169" s="143"/>
      <c r="Q169" s="143"/>
      <c r="R169" s="143"/>
      <c r="S169" s="143"/>
      <c r="T169" s="143"/>
      <c r="U169" s="143"/>
    </row>
    <row r="170" spans="1:21" x14ac:dyDescent="0.3">
      <c r="A170" s="143" t="s">
        <v>212</v>
      </c>
      <c r="B170" s="147" t="e">
        <f>VLOOKUP(A170,'Product Cost - Price'!$D$5:$U$252,18,FALSE)</f>
        <v>#N/A</v>
      </c>
      <c r="C170" s="147" t="e">
        <f>VLOOKUP(A170,'Product Cost - Price'!$D$5:$U$252,17,FALSE)</f>
        <v>#N/A</v>
      </c>
      <c r="D170" s="143">
        <v>0</v>
      </c>
      <c r="E170" s="143">
        <v>0</v>
      </c>
      <c r="F170" s="143" t="s">
        <v>23</v>
      </c>
      <c r="G170" s="143"/>
      <c r="H170" s="143">
        <v>0</v>
      </c>
      <c r="I170" s="143">
        <v>0</v>
      </c>
      <c r="J170" s="143"/>
      <c r="K170" s="147" t="str">
        <f t="shared" si="4"/>
        <v>n/a</v>
      </c>
      <c r="L170" s="147" t="str">
        <f t="shared" si="5"/>
        <v>n/a</v>
      </c>
      <c r="M170" s="143" t="s">
        <v>786</v>
      </c>
      <c r="N170" s="143"/>
      <c r="O170" s="143"/>
      <c r="P170" s="143"/>
      <c r="Q170" s="143"/>
      <c r="R170" s="143"/>
      <c r="S170" s="143"/>
      <c r="T170" s="143"/>
      <c r="U170" s="143"/>
    </row>
    <row r="171" spans="1:21" x14ac:dyDescent="0.3">
      <c r="A171" s="143" t="s">
        <v>394</v>
      </c>
      <c r="B171" s="147">
        <f>VLOOKUP(A171,'Product Cost - Price'!$D$5:$U$252,18,FALSE)</f>
        <v>18.3</v>
      </c>
      <c r="C171" s="147">
        <f>VLOOKUP(A171,'Product Cost - Price'!$D$5:$U$252,17,FALSE)</f>
        <v>18.827894623655911</v>
      </c>
      <c r="D171" s="145">
        <v>0</v>
      </c>
      <c r="E171" s="145">
        <v>0</v>
      </c>
      <c r="F171" s="143" t="s">
        <v>23</v>
      </c>
      <c r="G171" s="143"/>
      <c r="H171" s="143">
        <v>14.6</v>
      </c>
      <c r="I171" s="143">
        <v>0</v>
      </c>
      <c r="J171" s="143"/>
      <c r="K171" s="147">
        <f t="shared" si="4"/>
        <v>3.7000000000000011</v>
      </c>
      <c r="L171" s="147">
        <f t="shared" si="5"/>
        <v>18.827894623655911</v>
      </c>
      <c r="M171" s="143" t="s">
        <v>786</v>
      </c>
      <c r="N171" s="143"/>
      <c r="O171" s="143"/>
      <c r="P171" s="143"/>
      <c r="Q171" s="143"/>
      <c r="R171" s="144"/>
      <c r="S171" s="145"/>
      <c r="T171" s="145"/>
      <c r="U171" s="143"/>
    </row>
    <row r="172" spans="1:21" x14ac:dyDescent="0.3">
      <c r="A172" s="143" t="s">
        <v>140</v>
      </c>
      <c r="B172" s="147">
        <f>VLOOKUP(A172,'Product Cost - Price'!$D$5:$U$252,18,FALSE)</f>
        <v>30</v>
      </c>
      <c r="C172" s="147">
        <f>VLOOKUP(A172,'Product Cost - Price'!$D$5:$U$252,17,FALSE)</f>
        <v>28.170731707317074</v>
      </c>
      <c r="D172" s="143">
        <v>0</v>
      </c>
      <c r="E172" s="143">
        <v>0</v>
      </c>
      <c r="F172" s="143" t="s">
        <v>23</v>
      </c>
      <c r="G172" s="143"/>
      <c r="H172" s="143">
        <v>24.7</v>
      </c>
      <c r="I172" s="143">
        <v>19.100000000000001</v>
      </c>
      <c r="J172" s="143"/>
      <c r="K172" s="147">
        <f t="shared" si="4"/>
        <v>5.3000000000000007</v>
      </c>
      <c r="L172" s="147">
        <f t="shared" si="5"/>
        <v>9.0707317073170728</v>
      </c>
      <c r="M172" s="143" t="s">
        <v>786</v>
      </c>
      <c r="N172" s="143"/>
      <c r="O172" s="143"/>
      <c r="P172" s="143"/>
      <c r="Q172" s="143"/>
      <c r="R172" s="143"/>
      <c r="S172" s="143"/>
      <c r="T172" s="143"/>
      <c r="U172" s="143"/>
    </row>
    <row r="173" spans="1:21" x14ac:dyDescent="0.3">
      <c r="A173" s="143" t="s">
        <v>154</v>
      </c>
      <c r="B173" s="147">
        <f>VLOOKUP(A173,'Product Cost - Price'!$D$5:$U$252,18,FALSE)</f>
        <v>43.9</v>
      </c>
      <c r="C173" s="147">
        <f>VLOOKUP(A173,'Product Cost - Price'!$D$5:$U$252,17,FALSE)</f>
        <v>40.896138211382109</v>
      </c>
      <c r="D173" s="143">
        <v>49</v>
      </c>
      <c r="E173" s="143">
        <v>0</v>
      </c>
      <c r="F173" s="143" t="s">
        <v>23</v>
      </c>
      <c r="G173" s="143"/>
      <c r="H173" s="143">
        <v>32.700000000000003</v>
      </c>
      <c r="I173" s="143">
        <v>30.45</v>
      </c>
      <c r="J173" s="143"/>
      <c r="K173" s="147">
        <f t="shared" si="4"/>
        <v>11.199999999999996</v>
      </c>
      <c r="L173" s="147">
        <f t="shared" si="5"/>
        <v>10.44613821138211</v>
      </c>
      <c r="M173" s="143" t="s">
        <v>786</v>
      </c>
      <c r="N173" s="143"/>
      <c r="O173" s="143"/>
      <c r="P173" s="143"/>
      <c r="Q173" s="143"/>
      <c r="R173" s="143"/>
      <c r="S173" s="143"/>
      <c r="T173" s="143"/>
      <c r="U173" s="143"/>
    </row>
    <row r="174" spans="1:21" x14ac:dyDescent="0.3">
      <c r="A174" s="143" t="s">
        <v>166</v>
      </c>
      <c r="B174" s="147">
        <f>VLOOKUP(A174,'Product Cost - Price'!$D$5:$U$252,18,FALSE)</f>
        <v>57.7</v>
      </c>
      <c r="C174" s="147">
        <f>VLOOKUP(A174,'Product Cost - Price'!$D$5:$U$252,17,FALSE)</f>
        <v>53.777693089430883</v>
      </c>
      <c r="D174" s="143">
        <v>70</v>
      </c>
      <c r="E174" s="143">
        <v>0</v>
      </c>
      <c r="F174" s="143" t="s">
        <v>23</v>
      </c>
      <c r="G174" s="143"/>
      <c r="H174" s="143">
        <v>45</v>
      </c>
      <c r="I174" s="143">
        <v>41.93</v>
      </c>
      <c r="J174" s="143"/>
      <c r="K174" s="147">
        <f t="shared" si="4"/>
        <v>12.700000000000003</v>
      </c>
      <c r="L174" s="147">
        <f t="shared" si="5"/>
        <v>11.847693089430884</v>
      </c>
      <c r="M174" s="143" t="s">
        <v>786</v>
      </c>
      <c r="N174" s="143"/>
      <c r="O174" s="143"/>
      <c r="P174" s="143"/>
      <c r="Q174" s="143"/>
      <c r="R174" s="143"/>
      <c r="S174" s="143"/>
      <c r="T174" s="143"/>
      <c r="U174" s="143"/>
    </row>
    <row r="175" spans="1:21" x14ac:dyDescent="0.3">
      <c r="A175" s="143" t="s">
        <v>382</v>
      </c>
      <c r="B175" s="147" t="e">
        <f>VLOOKUP(A175,'Product Cost - Price'!$D$5:$U$252,18,FALSE)</f>
        <v>#N/A</v>
      </c>
      <c r="C175" s="147">
        <v>0</v>
      </c>
      <c r="D175" s="145">
        <v>0</v>
      </c>
      <c r="E175" s="145">
        <v>0</v>
      </c>
      <c r="F175" s="143" t="s">
        <v>23</v>
      </c>
      <c r="G175" s="143"/>
      <c r="H175" s="143">
        <v>0</v>
      </c>
      <c r="I175" s="143">
        <v>7.3999999999999996E-2</v>
      </c>
      <c r="J175" s="143"/>
      <c r="K175" s="150" t="str">
        <f t="shared" si="4"/>
        <v>n/a</v>
      </c>
      <c r="L175" s="150">
        <f t="shared" si="5"/>
        <v>-7.3999999999999996E-2</v>
      </c>
      <c r="M175" s="143" t="s">
        <v>786</v>
      </c>
      <c r="N175" s="143"/>
      <c r="O175" s="143"/>
      <c r="P175" s="143"/>
      <c r="Q175" s="143"/>
      <c r="R175" s="144"/>
      <c r="S175" s="145"/>
      <c r="T175" s="145"/>
      <c r="U175" s="143"/>
    </row>
    <row r="176" spans="1:21" x14ac:dyDescent="0.3">
      <c r="A176" s="143" t="s">
        <v>60</v>
      </c>
      <c r="B176" s="150">
        <v>0</v>
      </c>
      <c r="C176" s="150">
        <v>0</v>
      </c>
      <c r="D176" s="143">
        <v>0</v>
      </c>
      <c r="E176" s="143">
        <v>0</v>
      </c>
      <c r="F176" s="143" t="s">
        <v>23</v>
      </c>
      <c r="G176" s="143"/>
      <c r="H176" s="143">
        <v>0</v>
      </c>
      <c r="I176" s="143">
        <v>0</v>
      </c>
      <c r="J176" s="143"/>
      <c r="K176" s="147">
        <f t="shared" si="4"/>
        <v>0</v>
      </c>
      <c r="L176" s="147">
        <f t="shared" si="5"/>
        <v>0</v>
      </c>
      <c r="M176" s="143" t="s">
        <v>786</v>
      </c>
      <c r="N176" s="143"/>
      <c r="O176" s="143"/>
      <c r="P176" s="143"/>
      <c r="Q176" s="143"/>
      <c r="R176" s="143"/>
      <c r="S176" s="143"/>
      <c r="T176" s="143"/>
      <c r="U176" s="143"/>
    </row>
    <row r="177" spans="1:21" x14ac:dyDescent="0.3">
      <c r="A177" s="143" t="s">
        <v>327</v>
      </c>
      <c r="B177" s="147" t="e">
        <f>VLOOKUP(A177,'Product Cost - Price'!$D$5:$U$252,18,FALSE)</f>
        <v>#N/A</v>
      </c>
      <c r="C177" s="147">
        <v>0</v>
      </c>
      <c r="D177" s="145">
        <v>0</v>
      </c>
      <c r="E177" s="145">
        <v>0</v>
      </c>
      <c r="F177" s="143" t="s">
        <v>23</v>
      </c>
      <c r="G177" s="143"/>
      <c r="H177" s="143">
        <v>0</v>
      </c>
      <c r="I177" s="143">
        <v>7.3999999999999996E-2</v>
      </c>
      <c r="J177" s="143"/>
      <c r="K177" s="150" t="str">
        <f t="shared" si="4"/>
        <v>n/a</v>
      </c>
      <c r="L177" s="150">
        <f t="shared" si="5"/>
        <v>-7.3999999999999996E-2</v>
      </c>
      <c r="M177" s="143" t="s">
        <v>786</v>
      </c>
      <c r="N177" s="143"/>
      <c r="O177" s="143"/>
      <c r="P177" s="143"/>
      <c r="Q177" s="143"/>
      <c r="R177" s="143"/>
      <c r="S177" s="143"/>
      <c r="T177" s="143"/>
      <c r="U177" s="143"/>
    </row>
    <row r="178" spans="1:21" x14ac:dyDescent="0.3">
      <c r="A178" s="143" t="s">
        <v>331</v>
      </c>
      <c r="B178" s="147" t="e">
        <f>VLOOKUP(A178,'Product Cost - Price'!$D$5:$U$252,18,FALSE)</f>
        <v>#N/A</v>
      </c>
      <c r="C178" s="147">
        <v>0</v>
      </c>
      <c r="D178" s="145">
        <v>0</v>
      </c>
      <c r="E178" s="145">
        <v>0</v>
      </c>
      <c r="F178" s="143" t="s">
        <v>23</v>
      </c>
      <c r="G178" s="143"/>
      <c r="H178" s="143">
        <v>0</v>
      </c>
      <c r="I178" s="143">
        <v>7.3999999999999996E-2</v>
      </c>
      <c r="J178" s="143"/>
      <c r="K178" s="150" t="str">
        <f t="shared" si="4"/>
        <v>n/a</v>
      </c>
      <c r="L178" s="150">
        <f t="shared" si="5"/>
        <v>-7.3999999999999996E-2</v>
      </c>
      <c r="M178" s="143" t="s">
        <v>786</v>
      </c>
      <c r="N178" s="143"/>
      <c r="O178" s="143"/>
      <c r="P178" s="143"/>
      <c r="Q178" s="143"/>
      <c r="R178" s="143"/>
      <c r="S178" s="143"/>
      <c r="T178" s="143"/>
      <c r="U178" s="143"/>
    </row>
    <row r="179" spans="1:21" x14ac:dyDescent="0.3">
      <c r="A179" s="143" t="s">
        <v>353</v>
      </c>
      <c r="B179" s="147" t="e">
        <f>VLOOKUP(A179,'Product Cost - Price'!$D$5:$U$252,18,FALSE)</f>
        <v>#N/A</v>
      </c>
      <c r="C179" s="147">
        <v>0</v>
      </c>
      <c r="D179" s="145">
        <v>0</v>
      </c>
      <c r="E179" s="145">
        <v>0</v>
      </c>
      <c r="F179" s="143" t="s">
        <v>23</v>
      </c>
      <c r="G179" s="143"/>
      <c r="H179" s="143">
        <v>0</v>
      </c>
      <c r="I179" s="143">
        <v>7.3999999999999996E-2</v>
      </c>
      <c r="J179" s="143"/>
      <c r="K179" s="150" t="str">
        <f t="shared" si="4"/>
        <v>n/a</v>
      </c>
      <c r="L179" s="150">
        <f t="shared" si="5"/>
        <v>-7.3999999999999996E-2</v>
      </c>
      <c r="M179" s="143" t="s">
        <v>786</v>
      </c>
      <c r="N179" s="143"/>
      <c r="O179" s="143"/>
      <c r="P179" s="143"/>
      <c r="Q179" s="143"/>
      <c r="R179" s="144"/>
      <c r="S179" s="145"/>
      <c r="T179" s="145"/>
      <c r="U179" s="143"/>
    </row>
    <row r="180" spans="1:21" x14ac:dyDescent="0.3">
      <c r="A180" s="143" t="s">
        <v>337</v>
      </c>
      <c r="B180" s="147" t="e">
        <f>VLOOKUP(A180,'Product Cost - Price'!$D$5:$U$252,18,FALSE)</f>
        <v>#N/A</v>
      </c>
      <c r="C180" s="147">
        <v>0</v>
      </c>
      <c r="D180" s="145">
        <v>0</v>
      </c>
      <c r="E180" s="145">
        <v>0</v>
      </c>
      <c r="F180" s="143" t="s">
        <v>23</v>
      </c>
      <c r="G180" s="143"/>
      <c r="H180" s="143">
        <v>0</v>
      </c>
      <c r="I180" s="143">
        <v>7.3999999999999996E-2</v>
      </c>
      <c r="J180" s="143"/>
      <c r="K180" s="150" t="str">
        <f t="shared" si="4"/>
        <v>n/a</v>
      </c>
      <c r="L180" s="150">
        <f t="shared" si="5"/>
        <v>-7.3999999999999996E-2</v>
      </c>
      <c r="M180" s="143" t="s">
        <v>786</v>
      </c>
      <c r="N180" s="143"/>
      <c r="O180" s="143"/>
      <c r="P180" s="143"/>
      <c r="Q180" s="143"/>
      <c r="R180" s="143"/>
      <c r="S180" s="143"/>
      <c r="T180" s="143"/>
      <c r="U180" s="143"/>
    </row>
    <row r="181" spans="1:21" x14ac:dyDescent="0.3">
      <c r="A181" s="143" t="s">
        <v>339</v>
      </c>
      <c r="B181" s="147" t="e">
        <f>VLOOKUP(A181,'Product Cost - Price'!$D$5:$U$252,18,FALSE)</f>
        <v>#N/A</v>
      </c>
      <c r="C181" s="147">
        <v>0</v>
      </c>
      <c r="D181" s="145">
        <v>0</v>
      </c>
      <c r="E181" s="145">
        <v>0</v>
      </c>
      <c r="F181" s="143" t="s">
        <v>23</v>
      </c>
      <c r="G181" s="143"/>
      <c r="H181" s="143">
        <v>0</v>
      </c>
      <c r="I181" s="143">
        <v>7.3999999999999996E-2</v>
      </c>
      <c r="J181" s="143"/>
      <c r="K181" s="150" t="str">
        <f t="shared" si="4"/>
        <v>n/a</v>
      </c>
      <c r="L181" s="150">
        <f t="shared" si="5"/>
        <v>-7.3999999999999996E-2</v>
      </c>
      <c r="M181" s="143" t="s">
        <v>786</v>
      </c>
      <c r="N181" s="143"/>
      <c r="O181" s="143"/>
      <c r="P181" s="143"/>
      <c r="Q181" s="143"/>
      <c r="R181" s="143"/>
      <c r="S181" s="143"/>
      <c r="T181" s="143"/>
      <c r="U181" s="143"/>
    </row>
    <row r="182" spans="1:21" x14ac:dyDescent="0.3">
      <c r="A182" s="143" t="s">
        <v>335</v>
      </c>
      <c r="B182" s="147" t="e">
        <f>VLOOKUP(A182,'Product Cost - Price'!$D$5:$U$252,18,FALSE)</f>
        <v>#N/A</v>
      </c>
      <c r="C182" s="147">
        <v>0</v>
      </c>
      <c r="D182" s="145">
        <v>0</v>
      </c>
      <c r="E182" s="145">
        <v>0</v>
      </c>
      <c r="F182" s="143" t="s">
        <v>23</v>
      </c>
      <c r="G182" s="143"/>
      <c r="H182" s="143">
        <v>0</v>
      </c>
      <c r="I182" s="143">
        <v>7.3999999999999996E-2</v>
      </c>
      <c r="J182" s="143"/>
      <c r="K182" s="150" t="str">
        <f t="shared" si="4"/>
        <v>n/a</v>
      </c>
      <c r="L182" s="150">
        <f t="shared" si="5"/>
        <v>-7.3999999999999996E-2</v>
      </c>
      <c r="M182" s="143" t="s">
        <v>786</v>
      </c>
      <c r="N182" s="143"/>
      <c r="O182" s="143"/>
      <c r="P182" s="143"/>
      <c r="Q182" s="143"/>
      <c r="R182" s="143"/>
      <c r="S182" s="143"/>
      <c r="T182" s="143"/>
      <c r="U182" s="143"/>
    </row>
    <row r="183" spans="1:21" x14ac:dyDescent="0.3">
      <c r="A183" s="143" t="s">
        <v>355</v>
      </c>
      <c r="B183" s="147" t="e">
        <f>VLOOKUP(A183,'Product Cost - Price'!$D$5:$U$252,18,FALSE)</f>
        <v>#N/A</v>
      </c>
      <c r="C183" s="147">
        <v>0</v>
      </c>
      <c r="D183" s="145">
        <v>0</v>
      </c>
      <c r="E183" s="145">
        <v>0</v>
      </c>
      <c r="F183" s="143" t="s">
        <v>23</v>
      </c>
      <c r="G183" s="143"/>
      <c r="H183" s="143">
        <v>0</v>
      </c>
      <c r="I183" s="143">
        <v>7.3999999999999996E-2</v>
      </c>
      <c r="J183" s="143"/>
      <c r="K183" s="150" t="str">
        <f t="shared" si="4"/>
        <v>n/a</v>
      </c>
      <c r="L183" s="150">
        <f t="shared" si="5"/>
        <v>-7.3999999999999996E-2</v>
      </c>
      <c r="M183" s="143" t="s">
        <v>786</v>
      </c>
      <c r="N183" s="143"/>
      <c r="O183" s="143"/>
      <c r="P183" s="143"/>
      <c r="Q183" s="143"/>
      <c r="R183" s="144"/>
      <c r="S183" s="145"/>
      <c r="T183" s="145"/>
      <c r="U183" s="143"/>
    </row>
    <row r="184" spans="1:21" x14ac:dyDescent="0.3">
      <c r="A184" s="143" t="s">
        <v>320</v>
      </c>
      <c r="B184" s="147" t="e">
        <f>VLOOKUP(A184,'Product Cost - Price'!$D$5:$U$252,18,FALSE)</f>
        <v>#N/A</v>
      </c>
      <c r="C184" s="147" t="e">
        <f>VLOOKUP(A184,'Product Cost - Price'!$D$5:$U$252,17,FALSE)</f>
        <v>#N/A</v>
      </c>
      <c r="D184" s="143">
        <v>0</v>
      </c>
      <c r="E184" s="143">
        <v>0</v>
      </c>
      <c r="F184" s="143" t="s">
        <v>23</v>
      </c>
      <c r="G184" s="143"/>
      <c r="H184" s="143">
        <v>0</v>
      </c>
      <c r="I184" s="143">
        <v>0</v>
      </c>
      <c r="J184" s="143"/>
      <c r="K184" s="147" t="str">
        <f t="shared" si="4"/>
        <v>n/a</v>
      </c>
      <c r="L184" s="147" t="str">
        <f t="shared" si="5"/>
        <v>n/a</v>
      </c>
      <c r="M184" s="143" t="s">
        <v>786</v>
      </c>
      <c r="N184" s="143"/>
      <c r="O184" s="143"/>
      <c r="P184" s="143"/>
      <c r="Q184" s="143"/>
      <c r="R184" s="143"/>
      <c r="S184" s="143"/>
      <c r="T184" s="143"/>
      <c r="U184" s="143"/>
    </row>
    <row r="185" spans="1:21" x14ac:dyDescent="0.3">
      <c r="A185" s="143" t="s">
        <v>318</v>
      </c>
      <c r="B185" s="147" t="e">
        <f>VLOOKUP(A185,'Product Cost - Price'!$D$5:$U$252,18,FALSE)</f>
        <v>#N/A</v>
      </c>
      <c r="C185" s="147" t="e">
        <f>VLOOKUP(A185,'Product Cost - Price'!$D$5:$U$252,17,FALSE)</f>
        <v>#N/A</v>
      </c>
      <c r="D185" s="143">
        <v>0</v>
      </c>
      <c r="E185" s="143">
        <v>0</v>
      </c>
      <c r="F185" s="143" t="s">
        <v>23</v>
      </c>
      <c r="G185" s="143"/>
      <c r="H185" s="143">
        <v>0</v>
      </c>
      <c r="I185" s="143">
        <v>0</v>
      </c>
      <c r="J185" s="143"/>
      <c r="K185" s="147" t="str">
        <f t="shared" si="4"/>
        <v>n/a</v>
      </c>
      <c r="L185" s="147" t="str">
        <f t="shared" si="5"/>
        <v>n/a</v>
      </c>
      <c r="M185" s="143" t="s">
        <v>786</v>
      </c>
      <c r="N185" s="143"/>
      <c r="O185" s="143"/>
      <c r="P185" s="143"/>
      <c r="Q185" s="143"/>
      <c r="R185" s="143"/>
      <c r="S185" s="143"/>
      <c r="T185" s="143"/>
      <c r="U185" s="143"/>
    </row>
    <row r="186" spans="1:21" x14ac:dyDescent="0.3">
      <c r="A186" s="143" t="s">
        <v>256</v>
      </c>
      <c r="B186" s="150">
        <v>0</v>
      </c>
      <c r="C186" s="147" t="e">
        <f>VLOOKUP(A186,'Product Cost - Price'!$D$5:$U$252,17,FALSE)</f>
        <v>#N/A</v>
      </c>
      <c r="D186" s="143">
        <v>0</v>
      </c>
      <c r="E186" s="143">
        <v>0</v>
      </c>
      <c r="F186" s="143" t="s">
        <v>23</v>
      </c>
      <c r="G186" s="143"/>
      <c r="H186" s="143">
        <v>0</v>
      </c>
      <c r="I186" s="143">
        <v>1.81</v>
      </c>
      <c r="J186" s="143"/>
      <c r="K186" s="147">
        <f t="shared" si="4"/>
        <v>0</v>
      </c>
      <c r="L186" s="147" t="str">
        <f t="shared" si="5"/>
        <v>n/a</v>
      </c>
      <c r="M186" s="143" t="s">
        <v>786</v>
      </c>
      <c r="N186" s="143"/>
      <c r="O186" s="143"/>
      <c r="P186" s="143"/>
      <c r="Q186" s="143"/>
      <c r="R186" s="143"/>
      <c r="S186" s="143"/>
      <c r="T186" s="143"/>
      <c r="U186" s="143"/>
    </row>
    <row r="187" spans="1:21" x14ac:dyDescent="0.3">
      <c r="A187" s="143" t="s">
        <v>62</v>
      </c>
      <c r="B187" s="150">
        <v>0</v>
      </c>
      <c r="C187" s="147" t="e">
        <f>VLOOKUP(A187,'Product Cost - Price'!$D$5:$U$252,17,FALSE)</f>
        <v>#N/A</v>
      </c>
      <c r="D187" s="143">
        <v>0</v>
      </c>
      <c r="E187" s="143">
        <v>0</v>
      </c>
      <c r="F187" s="143" t="s">
        <v>23</v>
      </c>
      <c r="G187" s="143"/>
      <c r="H187" s="143">
        <v>0</v>
      </c>
      <c r="I187" s="143">
        <v>17.190000000000001</v>
      </c>
      <c r="J187" s="143"/>
      <c r="K187" s="147">
        <f t="shared" si="4"/>
        <v>0</v>
      </c>
      <c r="L187" s="147" t="str">
        <f t="shared" si="5"/>
        <v>n/a</v>
      </c>
      <c r="M187" s="143" t="s">
        <v>786</v>
      </c>
      <c r="N187" s="143"/>
      <c r="O187" s="143"/>
      <c r="P187" s="143"/>
      <c r="Q187" s="143"/>
      <c r="R187" s="143"/>
      <c r="S187" s="143"/>
      <c r="T187" s="143"/>
      <c r="U187" s="143"/>
    </row>
    <row r="188" spans="1:21" x14ac:dyDescent="0.3">
      <c r="A188" s="143" t="s">
        <v>266</v>
      </c>
      <c r="B188" s="150">
        <v>0</v>
      </c>
      <c r="C188" s="147" t="e">
        <f>VLOOKUP(A188,'Product Cost - Price'!$D$5:$U$252,17,FALSE)</f>
        <v>#N/A</v>
      </c>
      <c r="D188" s="143">
        <v>0</v>
      </c>
      <c r="E188" s="143">
        <v>0</v>
      </c>
      <c r="F188" s="143" t="s">
        <v>23</v>
      </c>
      <c r="G188" s="143"/>
      <c r="H188" s="143">
        <v>0</v>
      </c>
      <c r="I188" s="143">
        <v>25.49</v>
      </c>
      <c r="J188" s="143"/>
      <c r="K188" s="147">
        <f t="shared" si="4"/>
        <v>0</v>
      </c>
      <c r="L188" s="147" t="str">
        <f t="shared" si="5"/>
        <v>n/a</v>
      </c>
      <c r="M188" s="143" t="s">
        <v>786</v>
      </c>
      <c r="N188" s="143"/>
      <c r="O188" s="143"/>
      <c r="P188" s="143"/>
      <c r="Q188" s="143"/>
      <c r="R188" s="143"/>
      <c r="S188" s="143"/>
      <c r="T188" s="143"/>
      <c r="U188" s="143"/>
    </row>
    <row r="189" spans="1:21" x14ac:dyDescent="0.3">
      <c r="A189" s="143" t="s">
        <v>78</v>
      </c>
      <c r="B189" s="150">
        <v>0</v>
      </c>
      <c r="C189" s="147" t="e">
        <f>VLOOKUP(A189,'Product Cost - Price'!$D$5:$U$252,17,FALSE)</f>
        <v>#N/A</v>
      </c>
      <c r="D189" s="143">
        <v>0</v>
      </c>
      <c r="E189" s="143">
        <v>0</v>
      </c>
      <c r="F189" s="143" t="s">
        <v>23</v>
      </c>
      <c r="G189" s="143"/>
      <c r="H189" s="143">
        <v>0</v>
      </c>
      <c r="I189" s="143">
        <v>8.65</v>
      </c>
      <c r="J189" s="143"/>
      <c r="K189" s="147">
        <f t="shared" si="4"/>
        <v>0</v>
      </c>
      <c r="L189" s="147" t="str">
        <f t="shared" si="5"/>
        <v>n/a</v>
      </c>
      <c r="M189" s="143" t="s">
        <v>786</v>
      </c>
      <c r="N189" s="143"/>
      <c r="O189" s="143"/>
      <c r="P189" s="143"/>
      <c r="Q189" s="143"/>
      <c r="R189" s="143"/>
      <c r="S189" s="143"/>
      <c r="T189" s="143"/>
      <c r="U189" s="143"/>
    </row>
    <row r="190" spans="1:21" x14ac:dyDescent="0.3">
      <c r="A190" s="143" t="s">
        <v>221</v>
      </c>
      <c r="B190" s="150">
        <v>0</v>
      </c>
      <c r="C190" s="147" t="e">
        <f>VLOOKUP(A190,'Product Cost - Price'!$D$5:$U$252,17,FALSE)</f>
        <v>#N/A</v>
      </c>
      <c r="D190" s="143">
        <v>0</v>
      </c>
      <c r="E190" s="143">
        <v>0</v>
      </c>
      <c r="F190" s="143" t="s">
        <v>23</v>
      </c>
      <c r="G190" s="143"/>
      <c r="H190" s="143">
        <v>0</v>
      </c>
      <c r="I190" s="143">
        <v>1.81</v>
      </c>
      <c r="J190" s="143"/>
      <c r="K190" s="147">
        <f t="shared" si="4"/>
        <v>0</v>
      </c>
      <c r="L190" s="147" t="str">
        <f t="shared" si="5"/>
        <v>n/a</v>
      </c>
      <c r="M190" s="143" t="s">
        <v>786</v>
      </c>
      <c r="N190" s="143"/>
      <c r="O190" s="143"/>
      <c r="P190" s="143"/>
      <c r="Q190" s="143"/>
      <c r="R190" s="143"/>
      <c r="S190" s="143"/>
      <c r="T190" s="143"/>
      <c r="U190" s="143"/>
    </row>
    <row r="191" spans="1:21" x14ac:dyDescent="0.3">
      <c r="A191" s="143" t="s">
        <v>97</v>
      </c>
      <c r="B191" s="147" t="e">
        <f>VLOOKUP(A191,'Product Cost - Price'!$D$5:$U$252,18,FALSE)</f>
        <v>#N/A</v>
      </c>
      <c r="C191" s="147" t="e">
        <f>VLOOKUP(A191,'Product Cost - Price'!$D$5:$U$252,17,FALSE)</f>
        <v>#N/A</v>
      </c>
      <c r="D191" s="143">
        <v>0</v>
      </c>
      <c r="E191" s="143">
        <v>0</v>
      </c>
      <c r="F191" s="143" t="s">
        <v>23</v>
      </c>
      <c r="G191" s="143"/>
      <c r="H191" s="143">
        <v>0.88</v>
      </c>
      <c r="I191" s="143">
        <v>0.89</v>
      </c>
      <c r="J191" s="143"/>
      <c r="K191" s="147" t="str">
        <f t="shared" si="4"/>
        <v>n/a</v>
      </c>
      <c r="L191" s="147" t="str">
        <f t="shared" si="5"/>
        <v>n/a</v>
      </c>
      <c r="M191" s="143" t="s">
        <v>786</v>
      </c>
      <c r="N191" s="143"/>
      <c r="O191" s="143"/>
      <c r="P191" s="143"/>
      <c r="Q191" s="143"/>
      <c r="R191" s="143"/>
      <c r="S191" s="143"/>
      <c r="T191" s="143"/>
      <c r="U191" s="143"/>
    </row>
    <row r="192" spans="1:21" x14ac:dyDescent="0.3">
      <c r="A192" s="143" t="s">
        <v>235</v>
      </c>
      <c r="B192" s="150">
        <v>0</v>
      </c>
      <c r="C192" s="147" t="e">
        <f>VLOOKUP(A192,'Product Cost - Price'!$D$5:$U$252,17,FALSE)</f>
        <v>#N/A</v>
      </c>
      <c r="D192" s="143">
        <v>0</v>
      </c>
      <c r="E192" s="143">
        <v>0</v>
      </c>
      <c r="F192" s="143" t="s">
        <v>23</v>
      </c>
      <c r="G192" s="143"/>
      <c r="H192" s="143">
        <v>0</v>
      </c>
      <c r="I192" s="143">
        <v>1.46</v>
      </c>
      <c r="J192" s="143"/>
      <c r="K192" s="147">
        <f t="shared" si="4"/>
        <v>0</v>
      </c>
      <c r="L192" s="147" t="str">
        <f t="shared" si="5"/>
        <v>n/a</v>
      </c>
      <c r="M192" s="143" t="s">
        <v>786</v>
      </c>
      <c r="N192" s="143"/>
      <c r="O192" s="143"/>
      <c r="P192" s="143"/>
      <c r="Q192" s="143"/>
      <c r="R192" s="143"/>
      <c r="S192" s="143"/>
      <c r="T192" s="143"/>
      <c r="U192" s="143"/>
    </row>
    <row r="193" spans="1:21" x14ac:dyDescent="0.3">
      <c r="A193" s="143" t="s">
        <v>216</v>
      </c>
      <c r="B193" s="150">
        <v>0</v>
      </c>
      <c r="C193" s="147" t="e">
        <f>VLOOKUP(A193,'Product Cost - Price'!$D$5:$U$252,17,FALSE)</f>
        <v>#N/A</v>
      </c>
      <c r="D193" s="143">
        <v>0</v>
      </c>
      <c r="E193" s="143">
        <v>0</v>
      </c>
      <c r="F193" s="143" t="s">
        <v>23</v>
      </c>
      <c r="G193" s="143"/>
      <c r="H193" s="143">
        <v>0</v>
      </c>
      <c r="I193" s="143">
        <v>0.96</v>
      </c>
      <c r="J193" s="143"/>
      <c r="K193" s="147">
        <f t="shared" si="4"/>
        <v>0</v>
      </c>
      <c r="L193" s="147" t="str">
        <f t="shared" si="5"/>
        <v>n/a</v>
      </c>
      <c r="M193" s="143" t="s">
        <v>786</v>
      </c>
      <c r="N193" s="143"/>
      <c r="O193" s="143"/>
      <c r="P193" s="143"/>
      <c r="Q193" s="143"/>
      <c r="R193" s="143"/>
      <c r="S193" s="143"/>
      <c r="T193" s="143"/>
      <c r="U193" s="143"/>
    </row>
    <row r="194" spans="1:21" x14ac:dyDescent="0.3">
      <c r="A194" s="143" t="s">
        <v>282</v>
      </c>
      <c r="B194" s="150">
        <v>0</v>
      </c>
      <c r="C194" s="147" t="e">
        <f>VLOOKUP(A194,'Product Cost - Price'!$D$5:$U$252,17,FALSE)</f>
        <v>#N/A</v>
      </c>
      <c r="D194" s="143">
        <v>0</v>
      </c>
      <c r="E194" s="143">
        <v>0</v>
      </c>
      <c r="F194" s="143" t="s">
        <v>23</v>
      </c>
      <c r="G194" s="143"/>
      <c r="H194" s="143">
        <v>0</v>
      </c>
      <c r="I194" s="143">
        <v>1.76</v>
      </c>
      <c r="J194" s="143"/>
      <c r="K194" s="147">
        <f t="shared" si="4"/>
        <v>0</v>
      </c>
      <c r="L194" s="147" t="str">
        <f t="shared" si="5"/>
        <v>n/a</v>
      </c>
      <c r="M194" s="143" t="s">
        <v>786</v>
      </c>
      <c r="N194" s="143"/>
      <c r="O194" s="143"/>
      <c r="P194" s="143"/>
      <c r="Q194" s="143"/>
      <c r="R194" s="143"/>
      <c r="S194" s="143"/>
      <c r="T194" s="143"/>
      <c r="U194" s="143"/>
    </row>
    <row r="195" spans="1:21" x14ac:dyDescent="0.3">
      <c r="A195" s="143" t="s">
        <v>217</v>
      </c>
      <c r="B195" s="150">
        <v>0</v>
      </c>
      <c r="C195" s="147" t="e">
        <f>VLOOKUP(A195,'Product Cost - Price'!$D$5:$U$252,17,FALSE)</f>
        <v>#N/A</v>
      </c>
      <c r="D195" s="143">
        <v>0</v>
      </c>
      <c r="E195" s="143">
        <v>0</v>
      </c>
      <c r="F195" s="143" t="s">
        <v>23</v>
      </c>
      <c r="G195" s="143"/>
      <c r="H195" s="143">
        <v>0</v>
      </c>
      <c r="I195" s="143">
        <v>0.97</v>
      </c>
      <c r="J195" s="143"/>
      <c r="K195" s="147">
        <f t="shared" ref="K195:K215" si="6">IFERROR(B195-H195,"n/a")</f>
        <v>0</v>
      </c>
      <c r="L195" s="147" t="str">
        <f t="shared" ref="L195:L215" si="7">IFERROR(C195-I195,"n/a")</f>
        <v>n/a</v>
      </c>
      <c r="M195" s="143" t="s">
        <v>786</v>
      </c>
      <c r="N195" s="143"/>
      <c r="O195" s="143"/>
      <c r="P195" s="143"/>
      <c r="Q195" s="143"/>
      <c r="R195" s="143"/>
      <c r="S195" s="143"/>
      <c r="T195" s="143"/>
      <c r="U195" s="143"/>
    </row>
    <row r="196" spans="1:21" x14ac:dyDescent="0.3">
      <c r="A196" s="143" t="s">
        <v>220</v>
      </c>
      <c r="B196" s="150">
        <v>0</v>
      </c>
      <c r="C196" s="147" t="e">
        <f>VLOOKUP(A196,'Product Cost - Price'!$D$5:$U$252,17,FALSE)</f>
        <v>#N/A</v>
      </c>
      <c r="D196" s="143">
        <v>0</v>
      </c>
      <c r="E196" s="143">
        <v>0</v>
      </c>
      <c r="F196" s="143" t="s">
        <v>23</v>
      </c>
      <c r="G196" s="143"/>
      <c r="H196" s="143">
        <v>0</v>
      </c>
      <c r="I196" s="143">
        <v>35.47</v>
      </c>
      <c r="J196" s="143"/>
      <c r="K196" s="147">
        <f t="shared" si="6"/>
        <v>0</v>
      </c>
      <c r="L196" s="147" t="str">
        <f t="shared" si="7"/>
        <v>n/a</v>
      </c>
      <c r="M196" s="143" t="s">
        <v>786</v>
      </c>
      <c r="N196" s="143"/>
      <c r="O196" s="143"/>
      <c r="P196" s="143"/>
      <c r="Q196" s="143"/>
      <c r="R196" s="143"/>
      <c r="S196" s="143"/>
      <c r="T196" s="143"/>
      <c r="U196" s="143"/>
    </row>
    <row r="197" spans="1:21" x14ac:dyDescent="0.3">
      <c r="A197" s="143" t="s">
        <v>79</v>
      </c>
      <c r="B197" s="150">
        <v>0</v>
      </c>
      <c r="C197" s="147" t="e">
        <f>VLOOKUP(A197,'Product Cost - Price'!$D$5:$U$252,17,FALSE)</f>
        <v>#N/A</v>
      </c>
      <c r="D197" s="143">
        <v>0</v>
      </c>
      <c r="E197" s="143">
        <v>0</v>
      </c>
      <c r="F197" s="143" t="s">
        <v>23</v>
      </c>
      <c r="G197" s="143"/>
      <c r="H197" s="143">
        <v>0</v>
      </c>
      <c r="I197" s="143">
        <v>17.32</v>
      </c>
      <c r="J197" s="143"/>
      <c r="K197" s="147">
        <f t="shared" si="6"/>
        <v>0</v>
      </c>
      <c r="L197" s="147" t="str">
        <f t="shared" si="7"/>
        <v>n/a</v>
      </c>
      <c r="M197" s="143" t="s">
        <v>786</v>
      </c>
      <c r="N197" s="143"/>
      <c r="O197" s="143"/>
      <c r="P197" s="143"/>
      <c r="Q197" s="143"/>
      <c r="R197" s="143"/>
      <c r="S197" s="143"/>
      <c r="T197" s="143"/>
      <c r="U197" s="143"/>
    </row>
    <row r="198" spans="1:21" x14ac:dyDescent="0.3">
      <c r="A198" s="143" t="s">
        <v>222</v>
      </c>
      <c r="B198" s="150">
        <v>0</v>
      </c>
      <c r="C198" s="147" t="e">
        <f>VLOOKUP(A198,'Product Cost - Price'!$D$5:$U$252,17,FALSE)</f>
        <v>#N/A</v>
      </c>
      <c r="D198" s="143">
        <v>0</v>
      </c>
      <c r="E198" s="143">
        <v>0</v>
      </c>
      <c r="F198" s="143" t="s">
        <v>23</v>
      </c>
      <c r="G198" s="143"/>
      <c r="H198" s="143">
        <v>0</v>
      </c>
      <c r="I198" s="143">
        <v>14.31</v>
      </c>
      <c r="J198" s="143"/>
      <c r="K198" s="147">
        <f t="shared" si="6"/>
        <v>0</v>
      </c>
      <c r="L198" s="147" t="str">
        <f t="shared" si="7"/>
        <v>n/a</v>
      </c>
      <c r="M198" s="143" t="s">
        <v>786</v>
      </c>
      <c r="N198" s="143"/>
      <c r="O198" s="143"/>
      <c r="P198" s="143"/>
      <c r="Q198" s="143"/>
      <c r="R198" s="143"/>
      <c r="S198" s="143"/>
      <c r="T198" s="143"/>
      <c r="U198" s="143"/>
    </row>
    <row r="199" spans="1:21" x14ac:dyDescent="0.3">
      <c r="A199" s="143" t="s">
        <v>223</v>
      </c>
      <c r="B199" s="150">
        <v>0</v>
      </c>
      <c r="C199" s="147" t="e">
        <f>VLOOKUP(A199,'Product Cost - Price'!$D$5:$U$252,17,FALSE)</f>
        <v>#N/A</v>
      </c>
      <c r="D199" s="143">
        <v>0</v>
      </c>
      <c r="E199" s="143">
        <v>0</v>
      </c>
      <c r="F199" s="143" t="s">
        <v>23</v>
      </c>
      <c r="G199" s="143"/>
      <c r="H199" s="143">
        <v>0</v>
      </c>
      <c r="I199" s="143">
        <v>9.33</v>
      </c>
      <c r="J199" s="143"/>
      <c r="K199" s="147">
        <f t="shared" si="6"/>
        <v>0</v>
      </c>
      <c r="L199" s="147" t="str">
        <f t="shared" si="7"/>
        <v>n/a</v>
      </c>
      <c r="M199" s="143" t="s">
        <v>786</v>
      </c>
      <c r="N199" s="143"/>
      <c r="O199" s="143"/>
      <c r="P199" s="143"/>
      <c r="Q199" s="143"/>
      <c r="R199" s="143"/>
      <c r="S199" s="143"/>
      <c r="T199" s="143"/>
      <c r="U199" s="143"/>
    </row>
    <row r="200" spans="1:21" x14ac:dyDescent="0.3">
      <c r="A200" s="143" t="s">
        <v>224</v>
      </c>
      <c r="B200" s="150">
        <v>0</v>
      </c>
      <c r="C200" s="147" t="e">
        <f>VLOOKUP(A200,'Product Cost - Price'!$D$5:$U$252,17,FALSE)</f>
        <v>#N/A</v>
      </c>
      <c r="D200" s="143">
        <v>0</v>
      </c>
      <c r="E200" s="143">
        <v>0</v>
      </c>
      <c r="F200" s="143" t="s">
        <v>23</v>
      </c>
      <c r="G200" s="143"/>
      <c r="H200" s="143">
        <v>0</v>
      </c>
      <c r="I200" s="143">
        <v>17.329999999999998</v>
      </c>
      <c r="J200" s="143"/>
      <c r="K200" s="147">
        <f t="shared" si="6"/>
        <v>0</v>
      </c>
      <c r="L200" s="147" t="str">
        <f t="shared" si="7"/>
        <v>n/a</v>
      </c>
      <c r="M200" s="143" t="s">
        <v>786</v>
      </c>
      <c r="N200" s="143"/>
      <c r="O200" s="143"/>
      <c r="P200" s="143"/>
      <c r="Q200" s="143"/>
      <c r="R200" s="143"/>
      <c r="S200" s="143"/>
      <c r="T200" s="143"/>
      <c r="U200" s="143"/>
    </row>
    <row r="201" spans="1:21" x14ac:dyDescent="0.3">
      <c r="A201" s="143" t="s">
        <v>226</v>
      </c>
      <c r="B201" s="150">
        <v>0</v>
      </c>
      <c r="C201" s="147" t="e">
        <f>VLOOKUP(A201,'Product Cost - Price'!$D$5:$U$252,17,FALSE)</f>
        <v>#N/A</v>
      </c>
      <c r="D201" s="143">
        <v>0</v>
      </c>
      <c r="E201" s="143">
        <v>0</v>
      </c>
      <c r="F201" s="143" t="s">
        <v>23</v>
      </c>
      <c r="G201" s="143"/>
      <c r="H201" s="143">
        <v>0</v>
      </c>
      <c r="I201" s="143">
        <v>34.75</v>
      </c>
      <c r="J201" s="143"/>
      <c r="K201" s="147">
        <f t="shared" si="6"/>
        <v>0</v>
      </c>
      <c r="L201" s="147" t="str">
        <f t="shared" si="7"/>
        <v>n/a</v>
      </c>
      <c r="M201" s="143" t="s">
        <v>786</v>
      </c>
      <c r="N201" s="143"/>
      <c r="O201" s="143"/>
      <c r="P201" s="143"/>
      <c r="Q201" s="143"/>
      <c r="R201" s="143"/>
      <c r="S201" s="143"/>
      <c r="T201" s="143"/>
      <c r="U201" s="143"/>
    </row>
    <row r="202" spans="1:21" x14ac:dyDescent="0.3">
      <c r="A202" s="143" t="s">
        <v>77</v>
      </c>
      <c r="B202" s="150">
        <v>0</v>
      </c>
      <c r="C202" s="147" t="e">
        <f>VLOOKUP(A202,'Product Cost - Price'!$D$5:$U$252,17,FALSE)</f>
        <v>#N/A</v>
      </c>
      <c r="D202" s="143">
        <v>0</v>
      </c>
      <c r="E202" s="143">
        <v>0</v>
      </c>
      <c r="F202" s="143" t="s">
        <v>23</v>
      </c>
      <c r="G202" s="143"/>
      <c r="H202" s="143">
        <v>0</v>
      </c>
      <c r="I202" s="143">
        <v>34.53</v>
      </c>
      <c r="J202" s="143"/>
      <c r="K202" s="147">
        <f t="shared" si="6"/>
        <v>0</v>
      </c>
      <c r="L202" s="147" t="str">
        <f t="shared" si="7"/>
        <v>n/a</v>
      </c>
      <c r="M202" s="143" t="s">
        <v>786</v>
      </c>
      <c r="N202" s="143"/>
      <c r="O202" s="143"/>
      <c r="P202" s="143"/>
      <c r="Q202" s="143"/>
      <c r="R202" s="143"/>
      <c r="S202" s="143"/>
      <c r="T202" s="143"/>
      <c r="U202" s="143"/>
    </row>
    <row r="203" spans="1:21" x14ac:dyDescent="0.3">
      <c r="A203" s="143" t="s">
        <v>225</v>
      </c>
      <c r="B203" s="150">
        <v>0</v>
      </c>
      <c r="C203" s="147" t="e">
        <f>VLOOKUP(A203,'Product Cost - Price'!$D$5:$U$252,17,FALSE)</f>
        <v>#N/A</v>
      </c>
      <c r="D203" s="143">
        <v>0</v>
      </c>
      <c r="E203" s="143">
        <v>0</v>
      </c>
      <c r="F203" s="143" t="s">
        <v>23</v>
      </c>
      <c r="G203" s="143"/>
      <c r="H203" s="143">
        <v>0</v>
      </c>
      <c r="I203" s="143">
        <v>9.4</v>
      </c>
      <c r="J203" s="143"/>
      <c r="K203" s="147">
        <f t="shared" si="6"/>
        <v>0</v>
      </c>
      <c r="L203" s="147" t="str">
        <f t="shared" si="7"/>
        <v>n/a</v>
      </c>
      <c r="M203" s="143" t="s">
        <v>786</v>
      </c>
      <c r="N203" s="143"/>
      <c r="O203" s="143"/>
      <c r="P203" s="143"/>
      <c r="Q203" s="143"/>
      <c r="R203" s="143"/>
      <c r="S203" s="143"/>
      <c r="T203" s="143"/>
      <c r="U203" s="143"/>
    </row>
    <row r="204" spans="1:21" x14ac:dyDescent="0.3">
      <c r="A204" s="143" t="s">
        <v>302</v>
      </c>
      <c r="B204" s="150">
        <v>0</v>
      </c>
      <c r="C204" s="147" t="e">
        <f>VLOOKUP(A204,'Product Cost - Price'!$D$5:$U$252,17,FALSE)</f>
        <v>#N/A</v>
      </c>
      <c r="D204" s="143">
        <v>0</v>
      </c>
      <c r="E204" s="143">
        <v>0</v>
      </c>
      <c r="F204" s="143" t="s">
        <v>23</v>
      </c>
      <c r="G204" s="143"/>
      <c r="H204" s="143">
        <v>0</v>
      </c>
      <c r="I204" s="143">
        <v>17.829999999999998</v>
      </c>
      <c r="J204" s="143"/>
      <c r="K204" s="147">
        <f t="shared" si="6"/>
        <v>0</v>
      </c>
      <c r="L204" s="147" t="str">
        <f t="shared" si="7"/>
        <v>n/a</v>
      </c>
      <c r="M204" s="143" t="s">
        <v>786</v>
      </c>
      <c r="N204" s="143"/>
      <c r="O204" s="143"/>
      <c r="P204" s="143"/>
      <c r="Q204" s="143"/>
      <c r="R204" s="143"/>
      <c r="S204" s="143"/>
      <c r="T204" s="143"/>
      <c r="U204" s="143"/>
    </row>
    <row r="205" spans="1:21" x14ac:dyDescent="0.3">
      <c r="A205" s="143" t="s">
        <v>218</v>
      </c>
      <c r="B205" s="150">
        <v>0</v>
      </c>
      <c r="C205" s="147" t="e">
        <f>VLOOKUP(A205,'Product Cost - Price'!$D$5:$U$252,17,FALSE)</f>
        <v>#N/A</v>
      </c>
      <c r="D205" s="143">
        <v>0</v>
      </c>
      <c r="E205" s="143">
        <v>0</v>
      </c>
      <c r="F205" s="143" t="s">
        <v>23</v>
      </c>
      <c r="G205" s="143"/>
      <c r="H205" s="143">
        <v>0</v>
      </c>
      <c r="I205" s="143">
        <v>28.49</v>
      </c>
      <c r="J205" s="143"/>
      <c r="K205" s="147">
        <f t="shared" si="6"/>
        <v>0</v>
      </c>
      <c r="L205" s="147" t="str">
        <f t="shared" si="7"/>
        <v>n/a</v>
      </c>
      <c r="M205" s="143" t="s">
        <v>786</v>
      </c>
      <c r="N205" s="143"/>
      <c r="O205" s="143"/>
      <c r="P205" s="143"/>
      <c r="Q205" s="143"/>
      <c r="R205" s="143"/>
      <c r="S205" s="143"/>
      <c r="T205" s="143"/>
      <c r="U205" s="143"/>
    </row>
    <row r="206" spans="1:21" x14ac:dyDescent="0.3">
      <c r="A206" s="143" t="s">
        <v>214</v>
      </c>
      <c r="B206" s="150">
        <v>0</v>
      </c>
      <c r="C206" s="147" t="e">
        <f>VLOOKUP(A206,'Product Cost - Price'!$D$5:$U$252,17,FALSE)</f>
        <v>#N/A</v>
      </c>
      <c r="D206" s="143">
        <v>0</v>
      </c>
      <c r="E206" s="143">
        <v>0</v>
      </c>
      <c r="F206" s="143" t="s">
        <v>23</v>
      </c>
      <c r="G206" s="143"/>
      <c r="H206" s="143">
        <v>0</v>
      </c>
      <c r="I206" s="143">
        <v>18.54</v>
      </c>
      <c r="J206" s="143"/>
      <c r="K206" s="147">
        <f t="shared" si="6"/>
        <v>0</v>
      </c>
      <c r="L206" s="147" t="str">
        <f t="shared" si="7"/>
        <v>n/a</v>
      </c>
      <c r="M206" s="143" t="s">
        <v>786</v>
      </c>
      <c r="N206" s="143"/>
      <c r="O206" s="143"/>
      <c r="P206" s="143"/>
      <c r="Q206" s="143"/>
      <c r="R206" s="143"/>
      <c r="S206" s="143"/>
      <c r="T206" s="143"/>
      <c r="U206" s="143"/>
    </row>
    <row r="207" spans="1:21" x14ac:dyDescent="0.3">
      <c r="A207" s="143" t="s">
        <v>227</v>
      </c>
      <c r="B207" s="150">
        <v>0</v>
      </c>
      <c r="C207" s="147" t="e">
        <f>VLOOKUP(A207,'Product Cost - Price'!$D$5:$U$252,17,FALSE)</f>
        <v>#N/A</v>
      </c>
      <c r="D207" s="143">
        <v>0</v>
      </c>
      <c r="E207" s="143">
        <v>0</v>
      </c>
      <c r="F207" s="143" t="s">
        <v>23</v>
      </c>
      <c r="G207" s="143"/>
      <c r="H207" s="143">
        <v>0</v>
      </c>
      <c r="I207" s="143">
        <v>20.64</v>
      </c>
      <c r="J207" s="143"/>
      <c r="K207" s="147">
        <f t="shared" si="6"/>
        <v>0</v>
      </c>
      <c r="L207" s="147" t="str">
        <f t="shared" si="7"/>
        <v>n/a</v>
      </c>
      <c r="M207" s="143" t="s">
        <v>786</v>
      </c>
      <c r="N207" s="143"/>
      <c r="O207" s="143"/>
      <c r="P207" s="143"/>
      <c r="Q207" s="143"/>
      <c r="R207" s="143"/>
      <c r="S207" s="143"/>
      <c r="T207" s="143"/>
      <c r="U207" s="143"/>
    </row>
    <row r="208" spans="1:21" x14ac:dyDescent="0.3">
      <c r="A208" s="143" t="s">
        <v>219</v>
      </c>
      <c r="B208" s="150">
        <v>0</v>
      </c>
      <c r="C208" s="147" t="e">
        <f>VLOOKUP(A208,'Product Cost - Price'!$D$5:$U$252,17,FALSE)</f>
        <v>#N/A</v>
      </c>
      <c r="D208" s="143">
        <v>0</v>
      </c>
      <c r="E208" s="143">
        <v>0</v>
      </c>
      <c r="F208" s="143" t="s">
        <v>23</v>
      </c>
      <c r="G208" s="143"/>
      <c r="H208" s="143">
        <v>0</v>
      </c>
      <c r="I208" s="143">
        <v>34.53</v>
      </c>
      <c r="J208" s="143"/>
      <c r="K208" s="147">
        <f t="shared" si="6"/>
        <v>0</v>
      </c>
      <c r="L208" s="147" t="str">
        <f t="shared" si="7"/>
        <v>n/a</v>
      </c>
      <c r="M208" s="143" t="s">
        <v>786</v>
      </c>
      <c r="N208" s="143"/>
      <c r="O208" s="143"/>
      <c r="P208" s="143"/>
      <c r="Q208" s="143"/>
      <c r="R208" s="143"/>
      <c r="S208" s="143"/>
      <c r="T208" s="143"/>
      <c r="U208" s="143"/>
    </row>
    <row r="209" spans="1:21" x14ac:dyDescent="0.3">
      <c r="A209" s="143" t="s">
        <v>215</v>
      </c>
      <c r="B209" s="150">
        <v>0</v>
      </c>
      <c r="C209" s="147" t="e">
        <f>VLOOKUP(A209,'Product Cost - Price'!$D$5:$U$252,17,FALSE)</f>
        <v>#N/A</v>
      </c>
      <c r="D209" s="143">
        <v>0</v>
      </c>
      <c r="E209" s="143">
        <v>0</v>
      </c>
      <c r="F209" s="143" t="s">
        <v>23</v>
      </c>
      <c r="G209" s="143"/>
      <c r="H209" s="143">
        <v>0</v>
      </c>
      <c r="I209" s="143">
        <v>18.68</v>
      </c>
      <c r="J209" s="143"/>
      <c r="K209" s="147">
        <f t="shared" si="6"/>
        <v>0</v>
      </c>
      <c r="L209" s="147" t="str">
        <f t="shared" si="7"/>
        <v>n/a</v>
      </c>
      <c r="M209" s="143" t="s">
        <v>786</v>
      </c>
      <c r="N209" s="143"/>
      <c r="O209" s="143"/>
      <c r="P209" s="143"/>
      <c r="Q209" s="143"/>
      <c r="R209" s="143"/>
      <c r="S209" s="143"/>
      <c r="T209" s="143"/>
      <c r="U209" s="143"/>
    </row>
    <row r="210" spans="1:21" x14ac:dyDescent="0.3">
      <c r="A210" s="143" t="s">
        <v>265</v>
      </c>
      <c r="B210" s="150">
        <v>0</v>
      </c>
      <c r="C210" s="147" t="e">
        <f>VLOOKUP(A210,'Product Cost - Price'!$D$5:$U$252,17,FALSE)</f>
        <v>#N/A</v>
      </c>
      <c r="D210" s="143">
        <v>0</v>
      </c>
      <c r="E210" s="143">
        <v>0</v>
      </c>
      <c r="F210" s="143" t="s">
        <v>23</v>
      </c>
      <c r="G210" s="143"/>
      <c r="H210" s="143">
        <v>0</v>
      </c>
      <c r="I210" s="143">
        <v>38.549999999999997</v>
      </c>
      <c r="J210" s="143"/>
      <c r="K210" s="147">
        <f t="shared" si="6"/>
        <v>0</v>
      </c>
      <c r="L210" s="147" t="str">
        <f t="shared" si="7"/>
        <v>n/a</v>
      </c>
      <c r="M210" s="143" t="s">
        <v>786</v>
      </c>
      <c r="N210" s="143"/>
      <c r="O210" s="143"/>
      <c r="P210" s="143"/>
      <c r="Q210" s="143"/>
      <c r="R210" s="143"/>
      <c r="S210" s="143"/>
      <c r="T210" s="143"/>
      <c r="U210" s="143"/>
    </row>
    <row r="211" spans="1:21" x14ac:dyDescent="0.3">
      <c r="A211" s="143" t="s">
        <v>258</v>
      </c>
      <c r="B211" s="150">
        <v>0</v>
      </c>
      <c r="C211" s="147" t="e">
        <f>VLOOKUP(A211,'Product Cost - Price'!$D$5:$U$252,17,FALSE)</f>
        <v>#N/A</v>
      </c>
      <c r="D211" s="143">
        <v>0</v>
      </c>
      <c r="E211" s="143">
        <v>0</v>
      </c>
      <c r="F211" s="143" t="s">
        <v>23</v>
      </c>
      <c r="G211" s="143"/>
      <c r="H211" s="143">
        <v>0</v>
      </c>
      <c r="I211" s="143">
        <v>0</v>
      </c>
      <c r="J211" s="143"/>
      <c r="K211" s="147">
        <f t="shared" si="6"/>
        <v>0</v>
      </c>
      <c r="L211" s="147" t="str">
        <f t="shared" si="7"/>
        <v>n/a</v>
      </c>
      <c r="M211" s="143" t="s">
        <v>786</v>
      </c>
      <c r="N211" s="143"/>
      <c r="O211" s="143"/>
      <c r="P211" s="143"/>
      <c r="Q211" s="143"/>
      <c r="R211" s="143"/>
      <c r="S211" s="143"/>
      <c r="T211" s="143"/>
      <c r="U211" s="143"/>
    </row>
    <row r="212" spans="1:21" x14ac:dyDescent="0.3">
      <c r="A212" s="143" t="s">
        <v>373</v>
      </c>
      <c r="B212" s="147">
        <v>0</v>
      </c>
      <c r="C212" s="147">
        <v>0</v>
      </c>
      <c r="D212" s="145">
        <v>0</v>
      </c>
      <c r="E212" s="145">
        <v>0</v>
      </c>
      <c r="F212" s="143" t="s">
        <v>23</v>
      </c>
      <c r="G212" s="143"/>
      <c r="H212" s="143">
        <v>0</v>
      </c>
      <c r="I212" s="143">
        <v>7.3999999999999996E-2</v>
      </c>
      <c r="J212" s="143"/>
      <c r="K212" s="150">
        <f t="shared" si="6"/>
        <v>0</v>
      </c>
      <c r="L212" s="150">
        <f t="shared" si="7"/>
        <v>-7.3999999999999996E-2</v>
      </c>
      <c r="M212" s="143" t="s">
        <v>786</v>
      </c>
      <c r="N212" s="143"/>
      <c r="O212" s="143"/>
      <c r="P212" s="143"/>
      <c r="Q212" s="143"/>
      <c r="R212" s="144"/>
      <c r="S212" s="145"/>
      <c r="T212" s="145"/>
      <c r="U212" s="143"/>
    </row>
    <row r="213" spans="1:21" x14ac:dyDescent="0.3">
      <c r="A213" s="143" t="s">
        <v>374</v>
      </c>
      <c r="B213" s="147">
        <v>0</v>
      </c>
      <c r="C213" s="147">
        <v>0</v>
      </c>
      <c r="D213" s="145">
        <v>0</v>
      </c>
      <c r="E213" s="145">
        <v>0</v>
      </c>
      <c r="F213" s="143" t="s">
        <v>23</v>
      </c>
      <c r="G213" s="143"/>
      <c r="H213" s="143">
        <v>0</v>
      </c>
      <c r="I213" s="143">
        <v>7.3999999999999996E-2</v>
      </c>
      <c r="J213" s="143"/>
      <c r="K213" s="150">
        <f t="shared" si="6"/>
        <v>0</v>
      </c>
      <c r="L213" s="150">
        <f t="shared" si="7"/>
        <v>-7.3999999999999996E-2</v>
      </c>
      <c r="M213" s="143" t="s">
        <v>786</v>
      </c>
      <c r="N213" s="143"/>
      <c r="O213" s="143"/>
      <c r="P213" s="143"/>
      <c r="Q213" s="143"/>
      <c r="R213" s="144"/>
      <c r="S213" s="145"/>
      <c r="T213" s="145"/>
      <c r="U213" s="143"/>
    </row>
    <row r="214" spans="1:21" x14ac:dyDescent="0.3">
      <c r="A214" s="143" t="s">
        <v>548</v>
      </c>
      <c r="B214" s="150">
        <v>75</v>
      </c>
      <c r="C214" s="147">
        <v>0</v>
      </c>
      <c r="D214" s="145">
        <v>0</v>
      </c>
      <c r="E214" s="145">
        <v>0</v>
      </c>
      <c r="F214" s="143" t="s">
        <v>23</v>
      </c>
      <c r="G214" s="143"/>
      <c r="H214" s="143">
        <v>75</v>
      </c>
      <c r="I214" s="143">
        <v>7.3999999999999996E-2</v>
      </c>
      <c r="J214" s="143"/>
      <c r="K214" s="147">
        <f t="shared" si="6"/>
        <v>0</v>
      </c>
      <c r="L214" s="147">
        <f t="shared" si="7"/>
        <v>-7.3999999999999996E-2</v>
      </c>
      <c r="M214" s="143" t="s">
        <v>786</v>
      </c>
      <c r="N214" s="143"/>
      <c r="O214" s="143"/>
      <c r="P214" s="143"/>
      <c r="Q214" s="143"/>
      <c r="R214" s="144"/>
      <c r="S214" s="145"/>
      <c r="T214" s="145"/>
      <c r="U214" s="143"/>
    </row>
    <row r="215" spans="1:21" x14ac:dyDescent="0.3">
      <c r="A215" s="143" t="s">
        <v>549</v>
      </c>
      <c r="B215" s="150">
        <v>14.5</v>
      </c>
      <c r="C215" s="147">
        <v>0</v>
      </c>
      <c r="D215" s="145">
        <v>0</v>
      </c>
      <c r="E215" s="145">
        <v>0</v>
      </c>
      <c r="F215" s="143" t="s">
        <v>23</v>
      </c>
      <c r="G215" s="143"/>
      <c r="H215" s="143">
        <v>14.5</v>
      </c>
      <c r="I215" s="143">
        <v>7.3999999999999996E-2</v>
      </c>
      <c r="J215" s="143"/>
      <c r="K215" s="147">
        <f t="shared" si="6"/>
        <v>0</v>
      </c>
      <c r="L215" s="147">
        <f t="shared" si="7"/>
        <v>-7.3999999999999996E-2</v>
      </c>
      <c r="M215" s="143" t="s">
        <v>786</v>
      </c>
      <c r="N215" s="143"/>
      <c r="O215" s="143"/>
      <c r="P215" s="143"/>
      <c r="Q215" s="143"/>
      <c r="R215" s="144"/>
      <c r="S215" s="145"/>
      <c r="T215" s="145"/>
      <c r="U215" s="143"/>
    </row>
    <row r="216" spans="1:21" x14ac:dyDescent="0.3">
      <c r="P216" s="143"/>
      <c r="Q216" s="143"/>
      <c r="R216" s="144"/>
      <c r="S216" s="145"/>
      <c r="T216" s="145"/>
      <c r="U216" s="143"/>
    </row>
    <row r="217" spans="1:21" x14ac:dyDescent="0.3">
      <c r="P217" s="143"/>
      <c r="Q217" s="143"/>
      <c r="R217" s="144"/>
      <c r="S217" s="145"/>
      <c r="T217" s="145"/>
      <c r="U217" s="143"/>
    </row>
    <row r="218" spans="1:21" x14ac:dyDescent="0.3">
      <c r="P218" s="143"/>
      <c r="Q218" s="143"/>
      <c r="R218" s="144"/>
      <c r="S218" s="145"/>
      <c r="T218" s="145"/>
      <c r="U218" s="143"/>
    </row>
    <row r="219" spans="1:21" x14ac:dyDescent="0.3">
      <c r="P219" s="143"/>
      <c r="Q219" s="143"/>
      <c r="R219" s="145"/>
      <c r="S219" s="145"/>
      <c r="T219" s="145"/>
      <c r="U219" s="143"/>
    </row>
    <row r="220" spans="1:21" x14ac:dyDescent="0.3">
      <c r="L220" s="151"/>
      <c r="P220" s="143"/>
      <c r="Q220" s="143"/>
      <c r="R220" s="144"/>
      <c r="S220" s="145"/>
      <c r="T220" s="145"/>
      <c r="U220" s="143"/>
    </row>
    <row r="221" spans="1:21" x14ac:dyDescent="0.3">
      <c r="P221" s="143"/>
      <c r="Q221" s="143"/>
      <c r="R221" s="144"/>
      <c r="S221" s="145"/>
      <c r="T221" s="145"/>
      <c r="U221" s="143"/>
    </row>
    <row r="222" spans="1:21" x14ac:dyDescent="0.3">
      <c r="P222" s="143"/>
      <c r="Q222" s="143"/>
      <c r="R222" s="145"/>
      <c r="S222" s="145"/>
      <c r="T222" s="145"/>
      <c r="U222" s="143"/>
    </row>
    <row r="223" spans="1:21" x14ac:dyDescent="0.3">
      <c r="P223" s="143"/>
      <c r="Q223" s="143"/>
      <c r="R223" s="144"/>
      <c r="S223" s="145"/>
      <c r="T223" s="145"/>
      <c r="U223" s="143"/>
    </row>
    <row r="224" spans="1:21" x14ac:dyDescent="0.3">
      <c r="P224" s="143"/>
      <c r="Q224" s="143"/>
      <c r="R224" s="144"/>
      <c r="S224" s="145"/>
      <c r="T224" s="145"/>
      <c r="U224" s="143"/>
    </row>
    <row r="225" spans="16:21" x14ac:dyDescent="0.3">
      <c r="P225" s="143"/>
      <c r="Q225" s="143"/>
      <c r="R225" s="144"/>
      <c r="S225" s="145"/>
      <c r="T225" s="145"/>
      <c r="U225" s="143"/>
    </row>
    <row r="226" spans="16:21" x14ac:dyDescent="0.3">
      <c r="P226" s="143"/>
      <c r="Q226" s="143"/>
      <c r="R226" s="145"/>
      <c r="S226" s="145"/>
      <c r="T226" s="145"/>
      <c r="U226" s="143"/>
    </row>
    <row r="227" spans="16:21" x14ac:dyDescent="0.3">
      <c r="P227" s="143"/>
      <c r="Q227" s="143"/>
      <c r="R227" s="145"/>
      <c r="S227" s="145"/>
      <c r="T227" s="145"/>
      <c r="U227" s="143"/>
    </row>
    <row r="228" spans="16:21" x14ac:dyDescent="0.3">
      <c r="P228" s="143"/>
      <c r="Q228" s="143"/>
      <c r="R228" s="145"/>
      <c r="S228" s="145"/>
      <c r="T228" s="145"/>
      <c r="U228" s="143"/>
    </row>
    <row r="229" spans="16:21" x14ac:dyDescent="0.3">
      <c r="P229" s="143"/>
      <c r="Q229" s="143"/>
      <c r="R229" s="144"/>
      <c r="S229" s="145"/>
      <c r="T229" s="145"/>
      <c r="U229" s="143"/>
    </row>
    <row r="230" spans="16:21" x14ac:dyDescent="0.3">
      <c r="P230" s="143"/>
      <c r="Q230" s="143"/>
      <c r="R230" s="144"/>
      <c r="S230" s="145"/>
      <c r="T230" s="145"/>
      <c r="U230" s="143"/>
    </row>
    <row r="231" spans="16:21" x14ac:dyDescent="0.3">
      <c r="P231" s="143"/>
      <c r="Q231" s="143"/>
      <c r="R231" s="144"/>
      <c r="S231" s="145"/>
      <c r="T231" s="145"/>
      <c r="U231" s="143"/>
    </row>
    <row r="232" spans="16:21" x14ac:dyDescent="0.3">
      <c r="P232" s="143"/>
      <c r="Q232" s="143"/>
      <c r="R232" s="144"/>
      <c r="S232" s="145"/>
      <c r="T232" s="145"/>
      <c r="U232" s="143"/>
    </row>
    <row r="233" spans="16:21" x14ac:dyDescent="0.3">
      <c r="P233" s="143"/>
      <c r="Q233" s="143"/>
      <c r="R233" s="144"/>
      <c r="S233" s="145"/>
      <c r="T233" s="145"/>
      <c r="U233" s="143"/>
    </row>
    <row r="234" spans="16:21" x14ac:dyDescent="0.3">
      <c r="P234" s="143"/>
      <c r="Q234" s="143"/>
      <c r="R234" s="145"/>
      <c r="S234" s="145"/>
      <c r="T234" s="145"/>
      <c r="U234" s="143"/>
    </row>
    <row r="235" spans="16:21" x14ac:dyDescent="0.3">
      <c r="P235" s="143"/>
      <c r="Q235" s="143"/>
      <c r="R235" s="144"/>
      <c r="S235" s="145"/>
      <c r="T235" s="145"/>
      <c r="U235" s="143"/>
    </row>
    <row r="236" spans="16:21" x14ac:dyDescent="0.3">
      <c r="P236" s="143"/>
      <c r="Q236" s="143"/>
      <c r="R236" s="144"/>
      <c r="S236" s="145"/>
      <c r="T236" s="145"/>
      <c r="U236" s="143"/>
    </row>
    <row r="237" spans="16:21" x14ac:dyDescent="0.3">
      <c r="P237" s="143"/>
      <c r="Q237" s="143"/>
      <c r="R237" s="144"/>
      <c r="S237" s="145"/>
      <c r="T237" s="145"/>
      <c r="U237" s="143"/>
    </row>
    <row r="238" spans="16:21" x14ac:dyDescent="0.3">
      <c r="P238" s="143"/>
      <c r="Q238" s="143"/>
      <c r="R238" s="144"/>
      <c r="S238" s="145"/>
      <c r="T238" s="145"/>
      <c r="U238" s="143"/>
    </row>
    <row r="239" spans="16:21" x14ac:dyDescent="0.3">
      <c r="P239" s="143"/>
      <c r="Q239" s="143"/>
      <c r="R239" s="144"/>
      <c r="S239" s="145"/>
      <c r="T239" s="145"/>
      <c r="U239" s="143"/>
    </row>
    <row r="240" spans="16:21" x14ac:dyDescent="0.3">
      <c r="P240" s="143"/>
      <c r="Q240" s="143"/>
      <c r="R240" s="144"/>
      <c r="S240" s="145"/>
      <c r="T240" s="145"/>
      <c r="U240" s="143"/>
    </row>
  </sheetData>
  <autoFilter ref="A2:AA215" xr:uid="{AC1475FB-7878-48B5-8AC9-77085F598EA5}"/>
  <mergeCells count="2">
    <mergeCell ref="B1:C1"/>
    <mergeCell ref="H1:I1"/>
  </mergeCells>
  <conditionalFormatting sqref="K3:L215">
    <cfRule type="cellIs" dxfId="0" priority="1" operator="less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57C1DA806EAF4E963426844FB68EDF" ma:contentTypeVersion="14" ma:contentTypeDescription="Create a new document." ma:contentTypeScope="" ma:versionID="99b76008bd078d1b5777630a578c32e3">
  <xsd:schema xmlns:xsd="http://www.w3.org/2001/XMLSchema" xmlns:xs="http://www.w3.org/2001/XMLSchema" xmlns:p="http://schemas.microsoft.com/office/2006/metadata/properties" xmlns:ns2="15e39854-9dd0-4f91-a8a6-c50fd1e9abc5" xmlns:ns3="c64a1031-d0d2-4e85-b26a-d4df43a2cf57" targetNamespace="http://schemas.microsoft.com/office/2006/metadata/properties" ma:root="true" ma:fieldsID="e714263d95f7da88b2e46f91067ee709" ns2:_="" ns3:_="">
    <xsd:import namespace="15e39854-9dd0-4f91-a8a6-c50fd1e9abc5"/>
    <xsd:import namespace="c64a1031-d0d2-4e85-b26a-d4df43a2cf5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e39854-9dd0-4f91-a8a6-c50fd1e9abc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94d66df-27c1-4176-b84b-c58fee5fee2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a1031-d0d2-4e85-b26a-d4df43a2cf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d19bbf7-7f0b-43b2-a785-b0610ec58aff}" ma:internalName="TaxCatchAll" ma:showField="CatchAllData" ma:web="c64a1031-d0d2-4e85-b26a-d4df43a2cf5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a1031-d0d2-4e85-b26a-d4df43a2cf57" xsi:nil="true"/>
    <lcf76f155ced4ddcb4097134ff3c332f xmlns="15e39854-9dd0-4f91-a8a6-c50fd1e9abc5">
      <Terms xmlns="http://schemas.microsoft.com/office/infopath/2007/PartnerControls"/>
    </lcf76f155ced4ddcb4097134ff3c332f>
  </documentManagement>
</p:properties>
</file>

<file path=customXml/item4.xml>��< ? x m l   v e r s i o n = " 1 . 0 "   e n c o d i n g = " u t f - 1 6 " ? > < D a t a M a s h u p   x m l n s = " h t t p : / / s c h e m a s . m i c r o s o f t . c o m / D a t a M a s h u p " > A A A A A B U D A A B Q S w M E F A A C A A g A G I D e W m n z 9 6 q l A A A A 9 g A A A B I A H A B D b 2 5 m a W c v U G F j a 2 F n Z S 5 4 b W w g o h g A K K A U A A A A A A A A A A A A A A A A A A A A A A A A A A A A h Y 9 N D o I w G E S v Q r q n P 2 D U k F J i 3 E p i Y j R u m 1 q h E T 4 M L Z a 7 u f B I X k G M o u 5 c z p u 3 m L l f b z z r 6 y q 4 6 N a a B l L E M E W B B t U c D B Q p 6 t w x n K N M 8 L V U J 1 n o Y J D B J r 0 9 p K h 0 7 p w Q 4 r 3 H P s Z N W 5 C I U k b 2 + W q j S l 1 L 9 J H N f z k 0 Y J 0 E p Z H g u 9 c Y E W E 2 i T G b T T H l Z I Q 8 N / A V o m H v s / 2 B f N l V r m u 1 0 B A u t p y M k Z P 3 B / E A U E s D B B Q A A g A I A B i A 3 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Y g N 5 a K I p H u A 4 A A A A R A A A A E w A c A E Z v c m 1 1 b G F z L 1 N l Y 3 R p b 2 4 x L m 0 g o h g A K K A U A A A A A A A A A A A A A A A A A A A A A A A A A A A A K 0 5 N L s n M z 1 M I h t C G 1 g B Q S w E C L Q A U A A I A C A A Y g N 5 a a f P 3 q q U A A A D 2 A A A A E g A A A A A A A A A A A A A A A A A A A A A A Q 2 9 u Z m l n L 1 B h Y 2 t h Z 2 U u e G 1 s U E s B A i 0 A F A A C A A g A G I D e W g / K 6 a u k A A A A 6 Q A A A B M A A A A A A A A A A A A A A A A A 8 Q A A A F t D b 2 5 0 Z W 5 0 X 1 R 5 c G V z X S 5 4 b W x Q S w E C L Q A U A A I A C A A Y g N 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A 4 X r q r F A E q h 2 s T 5 P v q u L Q A A A A A C A A A A A A A Q Z g A A A A E A A C A A A A D w G 7 D n A H B a e H C H F p f u / 1 y 4 U 1 f S m q j i d J O 7 k k 6 x i F F 8 2 Q A A A A A O g A A A A A I A A C A A A A D X 1 a v L t R t T r q J O c 5 y O v 1 p X I d 6 Z s l T S e I s 7 w 8 T g L r + D y l A A A A A b l p I O N D K H 6 3 y Y t l Y 3 y r 1 f D z C R L 7 t 6 V U B q 4 2 b G A + P J / e O + Z A 8 s k E w r O o f E L P L W j u 3 m X v 1 H 4 e H w t 9 J 7 G L r y G c 0 k s A M I X 4 p c o 3 O t q 1 j F g h N v 6 E A A A A C f k V b t x M a D 9 U n R r r m + I s C g G 8 7 G 7 + h t 6 m T s G 1 J z 8 L N a c n v + q K X g R i H b 1 L U f U b b 3 g t l m D G a 3 7 c V e w / f B 5 z k l / m M r < / D a t a M a s h u p > 
</file>

<file path=customXml/itemProps1.xml><?xml version="1.0" encoding="utf-8"?>
<ds:datastoreItem xmlns:ds="http://schemas.openxmlformats.org/officeDocument/2006/customXml" ds:itemID="{5BE2D2EE-E85E-4E3E-A424-67AC6E3A5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e39854-9dd0-4f91-a8a6-c50fd1e9abc5"/>
    <ds:schemaRef ds:uri="c64a1031-d0d2-4e85-b26a-d4df43a2cf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8D18B3-66F1-4764-B268-25DC34EDFA5E}">
  <ds:schemaRefs>
    <ds:schemaRef ds:uri="http://schemas.microsoft.com/sharepoint/v3/contenttype/forms"/>
  </ds:schemaRefs>
</ds:datastoreItem>
</file>

<file path=customXml/itemProps3.xml><?xml version="1.0" encoding="utf-8"?>
<ds:datastoreItem xmlns:ds="http://schemas.openxmlformats.org/officeDocument/2006/customXml" ds:itemID="{90D90556-5951-4529-B906-CAE285779AD4}">
  <ds:schemaRefs>
    <ds:schemaRef ds:uri="http://schemas.microsoft.com/office/2006/metadata/properties"/>
    <ds:schemaRef ds:uri="http://schemas.microsoft.com/office/infopath/2007/PartnerControls"/>
    <ds:schemaRef ds:uri="c64a1031-d0d2-4e85-b26a-d4df43a2cf57"/>
    <ds:schemaRef ds:uri="15e39854-9dd0-4f91-a8a6-c50fd1e9abc5"/>
  </ds:schemaRefs>
</ds:datastoreItem>
</file>

<file path=customXml/itemProps4.xml><?xml version="1.0" encoding="utf-8"?>
<ds:datastoreItem xmlns:ds="http://schemas.openxmlformats.org/officeDocument/2006/customXml" ds:itemID="{C4F5E3FE-C1F7-4CB9-91DB-52D67A4AB8C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OC - Products &amp; Services</vt:lpstr>
      <vt:lpstr>Product Cost - Price</vt:lpstr>
      <vt:lpstr>Peckish Costing</vt:lpstr>
      <vt:lpstr>C- Raw Products Costs</vt:lpstr>
      <vt:lpstr>M - All</vt:lpstr>
      <vt:lpstr>Sales R12M Sep25</vt:lpstr>
      <vt:lpstr>Stock Take</vt:lpstr>
      <vt:lpstr>Price Review 30082025</vt:lpstr>
      <vt:lpstr>'Stock Take'!Print_Area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Dominguez</dc:creator>
  <cp:keywords/>
  <dc:description/>
  <cp:lastModifiedBy>Alex Dominguez</cp:lastModifiedBy>
  <cp:revision/>
  <dcterms:created xsi:type="dcterms:W3CDTF">2025-06-11T02:15:57Z</dcterms:created>
  <dcterms:modified xsi:type="dcterms:W3CDTF">2026-04-20T02:25:42Z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0x010100C357C1DA806EAF4E963426844FB68EDF</vt:lpwstr>
  </property>
  <property fmtid="{D5CDD505-2E9C-101B-9397-08002B2CF9AE}" pid="3" name="MediaServiceImageTags">
    <vt:lpwstr/>
  </property>
</Properties>
</file>